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JEMONSEAU\Desktop\MAJ Feuille de route\TOp!\"/>
    </mc:Choice>
  </mc:AlternateContent>
  <xr:revisionPtr revIDLastSave="0" documentId="13_ncr:1_{0F71C292-2E4F-442C-A730-D2F1D9115425}" xr6:coauthVersionLast="47" xr6:coauthVersionMax="47" xr10:uidLastSave="{00000000-0000-0000-0000-000000000000}"/>
  <bookViews>
    <workbookView xWindow="-120" yWindow="-120" windowWidth="29040" windowHeight="17520" xr2:uid="{00000000-000D-0000-FFFF-FFFF00000000}"/>
  </bookViews>
  <sheets>
    <sheet name="Caractéristiques &amp; Optimisation" sheetId="2" r:id="rId1"/>
    <sheet name="1&amp;2A" sheetId="4" r:id="rId2"/>
    <sheet name="1B" sheetId="15" r:id="rId3"/>
    <sheet name="2B" sheetId="16" r:id="rId4"/>
  </sheets>
  <definedNames>
    <definedName name="_xlnm.Print_Area" localSheetId="1">'1&amp;2A'!$A$1:$G$70</definedName>
    <definedName name="_xlnm.Print_Area" localSheetId="2">'1B'!$A$1:$G$79</definedName>
    <definedName name="_xlnm.Print_Area" localSheetId="3">'2B'!$A$1:$G$79</definedName>
    <definedName name="_xlnm.Print_Area" localSheetId="0">'Caractéristiques &amp; Optimisation'!$A$1:$G$62</definedName>
  </definedNames>
  <calcPr calcId="191029"/>
</workbook>
</file>

<file path=xl/calcChain.xml><?xml version="1.0" encoding="utf-8"?>
<calcChain xmlns="http://schemas.openxmlformats.org/spreadsheetml/2006/main">
  <c r="E63" i="15" l="1"/>
  <c r="E62" i="15"/>
  <c r="E61" i="15"/>
  <c r="E60" i="15"/>
  <c r="E59" i="15"/>
  <c r="D12" i="15"/>
  <c r="D51" i="15" s="1"/>
  <c r="E51" i="15" s="1"/>
  <c r="D12" i="16"/>
  <c r="C67" i="16"/>
  <c r="C66" i="16"/>
  <c r="E57" i="16"/>
  <c r="G57" i="16" s="1"/>
  <c r="D52" i="16"/>
  <c r="E52" i="16" s="1"/>
  <c r="D50" i="16"/>
  <c r="E50" i="16" s="1"/>
  <c r="F50" i="16" s="1"/>
  <c r="C49" i="16"/>
  <c r="B18" i="16"/>
  <c r="B19" i="16" s="1"/>
  <c r="C13" i="16"/>
  <c r="B13" i="16"/>
  <c r="D49" i="16" s="1"/>
  <c r="E49" i="16" s="1"/>
  <c r="A3" i="16"/>
  <c r="A2" i="16"/>
  <c r="C67" i="15"/>
  <c r="C66" i="15"/>
  <c r="E57" i="15"/>
  <c r="G57" i="15" s="1"/>
  <c r="D52" i="15"/>
  <c r="E52" i="15" s="1"/>
  <c r="D50" i="15"/>
  <c r="E50" i="15" s="1"/>
  <c r="F50" i="15" s="1"/>
  <c r="C49" i="15"/>
  <c r="C18" i="15"/>
  <c r="C19" i="15" s="1"/>
  <c r="C13" i="15"/>
  <c r="B13" i="15"/>
  <c r="B18" i="15" s="1"/>
  <c r="B19" i="15" s="1"/>
  <c r="A3" i="15"/>
  <c r="A2" i="15"/>
  <c r="C13" i="4"/>
  <c r="B13" i="4"/>
  <c r="C14" i="15" l="1"/>
  <c r="C17" i="15"/>
  <c r="B14" i="15"/>
  <c r="B15" i="15" s="1"/>
  <c r="D49" i="15"/>
  <c r="E49" i="15" s="1"/>
  <c r="F49" i="15" s="1"/>
  <c r="F51" i="15"/>
  <c r="G51" i="15" s="1"/>
  <c r="D67" i="16"/>
  <c r="E67" i="16" s="1"/>
  <c r="F67" i="16" s="1"/>
  <c r="F49" i="16"/>
  <c r="C17" i="16"/>
  <c r="B14" i="16"/>
  <c r="B15" i="16" s="1"/>
  <c r="C18" i="16"/>
  <c r="C19" i="16" s="1"/>
  <c r="D53" i="16" s="1"/>
  <c r="E53" i="16" s="1"/>
  <c r="F53" i="16" s="1"/>
  <c r="C14" i="16"/>
  <c r="C15" i="16" s="1"/>
  <c r="C16" i="16" s="1"/>
  <c r="D66" i="16" s="1"/>
  <c r="E66" i="16" s="1"/>
  <c r="G52" i="15"/>
  <c r="F52" i="15"/>
  <c r="D53" i="15"/>
  <c r="E53" i="15" s="1"/>
  <c r="F53" i="15" s="1"/>
  <c r="F70" i="15"/>
  <c r="E70" i="15" s="1"/>
  <c r="G70" i="15" s="1"/>
  <c r="D70" i="15"/>
  <c r="F57" i="15"/>
  <c r="E57" i="4"/>
  <c r="G57" i="4" s="1"/>
  <c r="D52" i="4"/>
  <c r="E52" i="4" s="1"/>
  <c r="G52" i="4" s="1"/>
  <c r="D50" i="4"/>
  <c r="E50" i="4" s="1"/>
  <c r="F50" i="4" s="1"/>
  <c r="D49" i="4"/>
  <c r="C49" i="4"/>
  <c r="C18" i="4"/>
  <c r="C19" i="4" s="1"/>
  <c r="B18" i="4"/>
  <c r="B19" i="4" s="1"/>
  <c r="C14" i="4"/>
  <c r="B14" i="4"/>
  <c r="B15" i="4" s="1"/>
  <c r="D12" i="4"/>
  <c r="D51" i="4" s="1"/>
  <c r="E51" i="4" s="1"/>
  <c r="A3" i="4"/>
  <c r="A2" i="4"/>
  <c r="F57" i="4" l="1"/>
  <c r="D56" i="15"/>
  <c r="E56" i="15" s="1"/>
  <c r="F48" i="15"/>
  <c r="F47" i="15" s="1"/>
  <c r="C15" i="15"/>
  <c r="D67" i="15"/>
  <c r="E67" i="15" s="1"/>
  <c r="F67" i="15" s="1"/>
  <c r="E48" i="15"/>
  <c r="E47" i="15" s="1"/>
  <c r="B16" i="15"/>
  <c r="D69" i="16"/>
  <c r="F69" i="16" s="1"/>
  <c r="E69" i="16" s="1"/>
  <c r="D68" i="16"/>
  <c r="E68" i="16" s="1"/>
  <c r="F68" i="16" s="1"/>
  <c r="F52" i="16"/>
  <c r="G52" i="16" s="1"/>
  <c r="F57" i="16"/>
  <c r="D70" i="16"/>
  <c r="F70" i="16"/>
  <c r="E70" i="16" s="1"/>
  <c r="G70" i="16" s="1"/>
  <c r="F66" i="16"/>
  <c r="D56" i="16"/>
  <c r="E56" i="16" s="1"/>
  <c r="D55" i="16"/>
  <c r="E55" i="16" s="1"/>
  <c r="B16" i="16"/>
  <c r="D51" i="16"/>
  <c r="E51" i="16" s="1"/>
  <c r="F51" i="16" s="1"/>
  <c r="D53" i="4"/>
  <c r="E53" i="4" s="1"/>
  <c r="F53" i="4" s="1"/>
  <c r="B16" i="4"/>
  <c r="C15" i="4"/>
  <c r="C16" i="4" s="1"/>
  <c r="E49" i="4"/>
  <c r="F49" i="4" s="1"/>
  <c r="F52" i="4"/>
  <c r="C17" i="4"/>
  <c r="F51" i="4"/>
  <c r="G51" i="4" s="1"/>
  <c r="F48" i="16" l="1"/>
  <c r="F47" i="16" s="1"/>
  <c r="G56" i="15"/>
  <c r="F56" i="15"/>
  <c r="C16" i="15"/>
  <c r="D69" i="15"/>
  <c r="F69" i="15" s="1"/>
  <c r="E69" i="15" s="1"/>
  <c r="D55" i="15"/>
  <c r="E55" i="15" s="1"/>
  <c r="F65" i="16"/>
  <c r="F71" i="16" s="1"/>
  <c r="E65" i="16"/>
  <c r="E71" i="16" s="1"/>
  <c r="F56" i="16"/>
  <c r="G56" i="16"/>
  <c r="E54" i="16"/>
  <c r="G55" i="16"/>
  <c r="F55" i="16"/>
  <c r="G51" i="16"/>
  <c r="E48" i="16"/>
  <c r="E47" i="16" s="1"/>
  <c r="E48" i="4"/>
  <c r="E47" i="4" s="1"/>
  <c r="D56" i="4"/>
  <c r="E56" i="4" s="1"/>
  <c r="D55" i="4"/>
  <c r="E55" i="4" s="1"/>
  <c r="F55" i="4" s="1"/>
  <c r="F48" i="4"/>
  <c r="F47" i="4" s="1"/>
  <c r="E60" i="16" l="1"/>
  <c r="G60" i="16" s="1"/>
  <c r="E59" i="16"/>
  <c r="E63" i="16"/>
  <c r="E62" i="16"/>
  <c r="G62" i="16" s="1"/>
  <c r="E61" i="16"/>
  <c r="F61" i="16" s="1"/>
  <c r="G56" i="4"/>
  <c r="F56" i="4"/>
  <c r="D68" i="15"/>
  <c r="E68" i="15" s="1"/>
  <c r="F68" i="15" s="1"/>
  <c r="D66" i="15"/>
  <c r="E66" i="15" s="1"/>
  <c r="G55" i="15"/>
  <c r="F55" i="15"/>
  <c r="F54" i="15" s="1"/>
  <c r="E54" i="15"/>
  <c r="G59" i="16"/>
  <c r="G63" i="16"/>
  <c r="G61" i="16"/>
  <c r="F54" i="16"/>
  <c r="G55" i="4"/>
  <c r="E54" i="4"/>
  <c r="E63" i="4" l="1"/>
  <c r="E59" i="4"/>
  <c r="E62" i="4"/>
  <c r="E60" i="4"/>
  <c r="F60" i="4" s="1"/>
  <c r="E61" i="4"/>
  <c r="F66" i="15"/>
  <c r="F65" i="15" s="1"/>
  <c r="F71" i="15" s="1"/>
  <c r="E65" i="15"/>
  <c r="E71" i="15" s="1"/>
  <c r="F62" i="16"/>
  <c r="F60" i="16"/>
  <c r="F63" i="16"/>
  <c r="F59" i="16"/>
  <c r="E58" i="16"/>
  <c r="E64" i="16" s="1"/>
  <c r="G59" i="4"/>
  <c r="F59" i="4"/>
  <c r="F54" i="4"/>
  <c r="F63" i="4"/>
  <c r="F61" i="4"/>
  <c r="F62" i="4"/>
  <c r="E58" i="4" l="1"/>
  <c r="F58" i="16"/>
  <c r="F64" i="16" s="1"/>
  <c r="G47" i="16" s="1"/>
  <c r="G62" i="4"/>
  <c r="G60" i="4"/>
  <c r="G61" i="4"/>
  <c r="G63" i="4"/>
  <c r="E64" i="4"/>
  <c r="G62" i="15" l="1"/>
  <c r="F62" i="15"/>
  <c r="G60" i="15"/>
  <c r="F60" i="15"/>
  <c r="G63" i="15"/>
  <c r="F63" i="15"/>
  <c r="G61" i="15"/>
  <c r="F61" i="15"/>
  <c r="G59" i="15"/>
  <c r="F59" i="15"/>
  <c r="E58" i="15"/>
  <c r="E64" i="15" s="1"/>
  <c r="G58" i="16"/>
  <c r="G54" i="16"/>
  <c r="F58" i="4"/>
  <c r="F58" i="15" l="1"/>
  <c r="F64" i="15" s="1"/>
  <c r="F64" i="4"/>
  <c r="G58" i="15" l="1"/>
  <c r="G47" i="15"/>
  <c r="G54" i="15"/>
  <c r="G58" i="4"/>
  <c r="G47" i="4"/>
  <c r="G5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9" authorId="0" shapeId="0" xr:uid="{6A8FB754-E944-45D1-AB4E-E353D323A906}">
      <text>
        <r>
          <rPr>
            <sz val="11"/>
            <color theme="1"/>
            <rFont val="Calibri"/>
            <family val="2"/>
            <scheme val="minor"/>
          </rPr>
          <t>% de BRS compris dans l'opération totale (SDP) (par défaut 50% du total d'accession encadrée)</t>
        </r>
      </text>
    </comment>
    <comment ref="D10" authorId="0" shapeId="0" xr:uid="{3C999246-9E14-48D9-AD1A-05A83108E914}">
      <text>
        <r>
          <rPr>
            <sz val="11"/>
            <color theme="1"/>
            <rFont val="Calibri"/>
            <family val="2"/>
            <scheme val="minor"/>
          </rPr>
          <t>% de TVA réduite compris dans l'opération totale (SDP) (par défaut : 0%)</t>
        </r>
      </text>
    </comment>
    <comment ref="D11" authorId="0" shapeId="0" xr:uid="{CD1187D1-7F88-4234-AD26-184F6E8223F7}">
      <text>
        <r>
          <rPr>
            <sz val="11"/>
            <color theme="1"/>
            <rFont val="Calibri"/>
            <family val="2"/>
            <scheme val="minor"/>
          </rPr>
          <t>% de PSLA compris dans l'opération totale (SDP) (par défaut 50% du total de l'accession encadrée)</t>
        </r>
      </text>
    </comment>
    <comment ref="D12" authorId="0" shapeId="0" xr:uid="{4F205E94-E819-4747-93E4-FECFBC8B7620}">
      <text>
        <r>
          <rPr>
            <sz val="11"/>
            <color theme="1"/>
            <rFont val="Calibri"/>
            <family val="2"/>
            <scheme val="minor"/>
          </rPr>
          <t>Calcul automatique (% total accession encadrée - somme % autres produits accession encadrée)</t>
        </r>
      </text>
    </comment>
    <comment ref="C69" authorId="0" shapeId="0" xr:uid="{26F660E3-AA9A-45EF-AB7E-F715BD8BF7ED}">
      <text>
        <r>
          <rPr>
            <sz val="11"/>
            <color theme="1"/>
            <rFont val="Calibri"/>
            <family val="2"/>
            <scheme val="minor"/>
          </rPr>
          <t>Auquel est ajouté 50% de 9m² d'extérieur par logement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9" authorId="0" shapeId="0" xr:uid="{F822CBDC-6AD2-410A-BB1B-3CE8E59C3C7A}">
      <text>
        <r>
          <rPr>
            <sz val="11"/>
            <color theme="1"/>
            <rFont val="Calibri"/>
            <family val="2"/>
            <scheme val="minor"/>
          </rPr>
          <t>% de BRS compris dans l'opération totale (SDP) (par défaut 50% du total d'accession encadrée)</t>
        </r>
      </text>
    </comment>
    <comment ref="D10" authorId="0" shapeId="0" xr:uid="{BB88D824-CACB-4137-A4E8-1E39CBF9B1B1}">
      <text>
        <r>
          <rPr>
            <sz val="11"/>
            <color theme="1"/>
            <rFont val="Calibri"/>
            <family val="2"/>
            <scheme val="minor"/>
          </rPr>
          <t>% de TVA réduite compris dans l'opération totale (SDP) (par défaut : 0%)</t>
        </r>
      </text>
    </comment>
    <comment ref="D11" authorId="0" shapeId="0" xr:uid="{65EAA8D2-8BB4-4564-825D-41635D532068}">
      <text>
        <r>
          <rPr>
            <sz val="11"/>
            <color theme="1"/>
            <rFont val="Calibri"/>
            <family val="2"/>
            <scheme val="minor"/>
          </rPr>
          <t>% de PSLA compris dans l'opération totale (SDP) (par défaut 50% du total de l'accession encadrée)</t>
        </r>
      </text>
    </comment>
    <comment ref="D12" authorId="0" shapeId="0" xr:uid="{FBC7FCFA-B5D4-4C5B-95A4-6855C3A134FD}">
      <text>
        <r>
          <rPr>
            <sz val="11"/>
            <color theme="1"/>
            <rFont val="Calibri"/>
            <family val="2"/>
            <scheme val="minor"/>
          </rPr>
          <t>Calcul automatique (% total accession encadrée - somme % autres produits accession encadrée)</t>
        </r>
      </text>
    </comment>
    <comment ref="C69" authorId="0" shapeId="0" xr:uid="{0DBABB56-68B8-4069-BAEC-FACAA94F1442}">
      <text>
        <r>
          <rPr>
            <sz val="11"/>
            <color theme="1"/>
            <rFont val="Calibri"/>
            <family val="2"/>
            <scheme val="minor"/>
          </rPr>
          <t>Auquel est ajouté 50% de 9m² d'extérieur par logement</t>
        </r>
      </text>
    </comment>
  </commentList>
</comments>
</file>

<file path=xl/sharedStrings.xml><?xml version="1.0" encoding="utf-8"?>
<sst xmlns="http://schemas.openxmlformats.org/spreadsheetml/2006/main" count="447" uniqueCount="174">
  <si>
    <t>Produits</t>
  </si>
  <si>
    <t>Prix de vente</t>
  </si>
  <si>
    <t>1. Bordeaux-Bègles</t>
  </si>
  <si>
    <t>Accession encadrée</t>
  </si>
  <si>
    <t>LLS en VEFA</t>
  </si>
  <si>
    <t>2. Floirac</t>
  </si>
  <si>
    <t>Morphologie</t>
  </si>
  <si>
    <t>Stationnement</t>
  </si>
  <si>
    <t>cf. PLU de Bordeaux Métropole, zone UP19 en périmètre de modération, et arrêté du 30 juin 2022 relatif à la sécurisation des infrastructures de stationnement des vélos dans les bâtiments</t>
  </si>
  <si>
    <t>Répartition typologique</t>
  </si>
  <si>
    <t>Autres éléments à prendre en compte</t>
  </si>
  <si>
    <r>
      <rPr>
        <sz val="11"/>
        <color theme="1"/>
        <rFont val="Symbol"/>
        <family val="1"/>
        <charset val="2"/>
      </rPr>
      <t xml:space="preserve"> </t>
    </r>
    <r>
      <rPr>
        <sz val="11"/>
        <color theme="1"/>
        <rFont val="Calibri"/>
        <family val="2"/>
      </rPr>
      <t>Raccordement obligatoire au</t>
    </r>
    <r>
      <rPr>
        <b/>
        <sz val="11"/>
        <color theme="1"/>
        <rFont val="Calibri"/>
        <family val="2"/>
      </rPr>
      <t xml:space="preserve"> réseau de chauffage urbain</t>
    </r>
  </si>
  <si>
    <r>
      <rPr>
        <sz val="11"/>
        <color theme="1"/>
        <rFont val="Symbol"/>
        <family val="1"/>
        <charset val="2"/>
      </rPr>
      <t xml:space="preserve"> </t>
    </r>
    <r>
      <rPr>
        <sz val="11"/>
        <color theme="1"/>
        <rFont val="Calibri"/>
        <family val="2"/>
      </rPr>
      <t xml:space="preserve">Dépôt de permis de construire </t>
    </r>
    <r>
      <rPr>
        <b/>
        <sz val="11"/>
        <color theme="1"/>
        <rFont val="Calibri"/>
        <family val="2"/>
      </rPr>
      <t>avant le 1er janvier 2025</t>
    </r>
  </si>
  <si>
    <r>
      <rPr>
        <sz val="11"/>
        <color theme="1"/>
        <rFont val="Symbol"/>
        <family val="1"/>
        <charset val="2"/>
      </rPr>
      <t></t>
    </r>
    <r>
      <rPr>
        <sz val="11"/>
        <color theme="1"/>
        <rFont val="Calibri"/>
        <family val="2"/>
      </rPr>
      <t xml:space="preserve"> </t>
    </r>
    <r>
      <rPr>
        <b/>
        <sz val="11"/>
        <color theme="1"/>
        <rFont val="Calibri"/>
        <family val="2"/>
      </rPr>
      <t>Un tiers de façades pleines</t>
    </r>
    <r>
      <rPr>
        <sz val="11"/>
        <color theme="1"/>
        <rFont val="Calibri"/>
        <family val="2"/>
      </rPr>
      <t xml:space="preserve"> constituées de matériaux pérennes</t>
    </r>
    <r>
      <rPr>
        <sz val="11"/>
        <color theme="1"/>
        <rFont val="Calibri"/>
        <family val="2"/>
      </rPr>
      <t xml:space="preserve"> </t>
    </r>
    <r>
      <rPr>
        <vertAlign val="superscript"/>
        <sz val="11"/>
        <color theme="1"/>
        <rFont val="Calibri"/>
        <family val="2"/>
      </rPr>
      <t>(1)</t>
    </r>
    <r>
      <rPr>
        <sz val="11"/>
        <color theme="1"/>
        <rFont val="Calibri"/>
        <family val="2"/>
      </rPr>
      <t>, en particulier pour les rez-de-chaussée, les façades potentiellement sollicitées et celles visibles depuis la rue</t>
    </r>
  </si>
  <si>
    <r>
      <rPr>
        <sz val="11"/>
        <color theme="1"/>
        <rFont val="Symbol"/>
        <family val="1"/>
        <charset val="2"/>
      </rPr>
      <t xml:space="preserve"> </t>
    </r>
    <r>
      <rPr>
        <sz val="11"/>
        <color theme="1"/>
        <rFont val="Calibri"/>
        <family val="2"/>
      </rPr>
      <t xml:space="preserve">Démarche </t>
    </r>
    <r>
      <rPr>
        <b/>
        <sz val="11"/>
        <color theme="1"/>
        <rFont val="Calibri"/>
        <family val="2"/>
      </rPr>
      <t>BIM</t>
    </r>
    <r>
      <rPr>
        <sz val="11"/>
        <color theme="1"/>
        <rFont val="Calibri"/>
        <family val="2"/>
      </rPr>
      <t xml:space="preserve"> adaptée obligatoire </t>
    </r>
    <r>
      <rPr>
        <vertAlign val="superscript"/>
        <sz val="11"/>
        <color theme="1"/>
        <rFont val="Calibri"/>
        <family val="2"/>
      </rPr>
      <t>(2)</t>
    </r>
  </si>
  <si>
    <t>(1) De type : pierre calcaire en façade semi-porteuse (minimum 8 cm d’épaisseur) ou porteuse, brique pleine, béton architectonique (teinté dans la masse préfabriqué)...</t>
  </si>
  <si>
    <t>(2) L'EPA Bordeaux Euratlantique souhaite renouveler son approche en matière de BIM afin d'en faire un outil au service des projets. Il est désormais envisagé une simplification autour d'objectifs ciblés et limités, altruistes et utiles à tous, qui permettent de mettre en adéquation les cahiers des charges EPA et des maîtres d'ouvrage :</t>
  </si>
  <si>
    <t xml:space="preserve">      - La documentation BIM de l'EPA sera allégée, simplifiée et discutée en amont du projet. Les dictionnaires de données et les méthodes seront établis sur une base commune EPA/MOA afin d'éviter les demandes contradictoires entre le cahier des charges EPA et le cahier des charges MOA</t>
  </si>
  <si>
    <t>Optimisations</t>
  </si>
  <si>
    <t>Classement</t>
  </si>
  <si>
    <t>Commentaires et précisions</t>
  </si>
  <si>
    <r>
      <rPr>
        <b/>
        <i/>
        <sz val="11"/>
        <color theme="1"/>
        <rFont val="Calibri"/>
        <family val="2"/>
      </rPr>
      <t xml:space="preserve">Répartition typologique (%T1, %T2, %T3, etc) </t>
    </r>
    <r>
      <rPr>
        <i/>
        <sz val="11"/>
        <color theme="1"/>
        <rFont val="Calibri"/>
        <family val="2"/>
      </rPr>
      <t>plus adaptée en accession permettant de répondre aux demandes des ménages</t>
    </r>
  </si>
  <si>
    <r>
      <rPr>
        <b/>
        <i/>
        <sz val="11"/>
        <color theme="1"/>
        <rFont val="Calibri"/>
        <family val="2"/>
      </rPr>
      <t>Modes de passation des marchés d'études et de travaux</t>
    </r>
    <r>
      <rPr>
        <i/>
        <sz val="11"/>
        <color theme="1"/>
        <rFont val="Calibri"/>
        <family val="2"/>
      </rPr>
      <t xml:space="preserve"> (conception-réalisation, TCE, macro-lots...)</t>
    </r>
  </si>
  <si>
    <r>
      <rPr>
        <b/>
        <i/>
        <sz val="11"/>
        <color theme="1"/>
        <rFont val="Calibri"/>
        <family val="2"/>
      </rPr>
      <t>Modes constructifs</t>
    </r>
    <r>
      <rPr>
        <i/>
        <sz val="11"/>
        <color theme="1"/>
        <rFont val="Calibri"/>
        <family val="2"/>
      </rPr>
      <t xml:space="preserve"> (poteaux-poutres...)</t>
    </r>
  </si>
  <si>
    <r>
      <rPr>
        <i/>
        <sz val="11"/>
        <color theme="1"/>
        <rFont val="Calibri"/>
        <family val="2"/>
      </rPr>
      <t xml:space="preserve">Diminution limitée de la </t>
    </r>
    <r>
      <rPr>
        <b/>
        <i/>
        <sz val="11"/>
        <color theme="1"/>
        <rFont val="Calibri"/>
        <family val="2"/>
      </rPr>
      <t>charge foncière</t>
    </r>
  </si>
  <si>
    <r>
      <rPr>
        <b/>
        <i/>
        <sz val="11"/>
        <color theme="1"/>
        <rFont val="Calibri"/>
        <family val="2"/>
      </rPr>
      <t>Densité/hauteur</t>
    </r>
    <r>
      <rPr>
        <i/>
        <sz val="11"/>
        <color theme="1"/>
        <rFont val="Calibri"/>
        <family val="2"/>
      </rPr>
      <t xml:space="preserve"> des constructions</t>
    </r>
  </si>
  <si>
    <t>Autres éléments pouvant avoir un impact sur les coûts de construction</t>
  </si>
  <si>
    <r>
      <rPr>
        <i/>
        <sz val="11"/>
        <color theme="1"/>
        <rFont val="Calibri"/>
        <family val="2"/>
      </rPr>
      <t xml:space="preserve">Quel serait l'impact de maximiser le nombre de </t>
    </r>
    <r>
      <rPr>
        <b/>
        <i/>
        <sz val="11"/>
        <color theme="1"/>
        <rFont val="Calibri"/>
        <family val="2"/>
      </rPr>
      <t>logements traversants</t>
    </r>
    <r>
      <rPr>
        <i/>
        <sz val="11"/>
        <color theme="1"/>
        <rFont val="Calibri"/>
        <family val="2"/>
      </rPr>
      <t xml:space="preserve"> (trame de 8 à 9m) ?</t>
    </r>
  </si>
  <si>
    <t>Autres</t>
  </si>
  <si>
    <t>Bègles-Bordeaux</t>
  </si>
  <si>
    <t>PROGRAMME</t>
  </si>
  <si>
    <t>SDP logement (m²)</t>
  </si>
  <si>
    <t>Nb Logements</t>
  </si>
  <si>
    <t>Locatif social</t>
  </si>
  <si>
    <t>Commentaires</t>
  </si>
  <si>
    <t>BRS</t>
  </si>
  <si>
    <t>TVA réduite QPV / ANRU</t>
  </si>
  <si>
    <t>PSLA</t>
  </si>
  <si>
    <t>Prix maîtrisé BxM
(hors BRS, ANRU et PSLA)</t>
  </si>
  <si>
    <r>
      <rPr>
        <b/>
        <i/>
        <sz val="11"/>
        <color theme="1"/>
        <rFont val="Calibri"/>
        <family val="2"/>
      </rPr>
      <t>Mixité sociale</t>
    </r>
    <r>
      <rPr>
        <b/>
        <i/>
        <sz val="11"/>
        <color theme="1"/>
        <rFont val="Calibri"/>
        <family val="2"/>
      </rPr>
      <t xml:space="preserve"> (en nb de logements)</t>
    </r>
  </si>
  <si>
    <t>SDP</t>
  </si>
  <si>
    <t>SHAB</t>
  </si>
  <si>
    <t>SU</t>
  </si>
  <si>
    <r>
      <rPr>
        <b/>
        <i/>
        <sz val="11"/>
        <color theme="1"/>
        <rFont val="Calibri"/>
        <family val="2"/>
      </rPr>
      <t>Charges foncières</t>
    </r>
    <r>
      <rPr>
        <b/>
        <i/>
        <sz val="11"/>
        <color theme="1"/>
        <rFont val="Calibri"/>
        <family val="2"/>
      </rPr>
      <t xml:space="preserve"> (/m² SDP)</t>
    </r>
  </si>
  <si>
    <t>Nombre de logements</t>
  </si>
  <si>
    <t>Places de stationnement</t>
  </si>
  <si>
    <t>Prix de sortie (hors parking)</t>
  </si>
  <si>
    <t>AMBITIONS ENVIRONNEMENTALES</t>
  </si>
  <si>
    <t>Thématique</t>
  </si>
  <si>
    <t>Cible EPA</t>
  </si>
  <si>
    <t>Moyens</t>
  </si>
  <si>
    <t>Atteinte</t>
  </si>
  <si>
    <t>Si OUI, à quelle condition ?
Si NON, pourquoi ? Quelle solution alternative d'effet équivalent ou quel niveau d'ambition adapté ?</t>
  </si>
  <si>
    <t>Certification</t>
  </si>
  <si>
    <t>OUI</t>
  </si>
  <si>
    <t>CONFORT</t>
  </si>
  <si>
    <t>Espaces extérieurs</t>
  </si>
  <si>
    <t>10 m² / logement en moyenne, yc espaces mutualisés accessibles</t>
  </si>
  <si>
    <t>Confort acoustique</t>
  </si>
  <si>
    <t>Exigences certifications</t>
  </si>
  <si>
    <t>Confort visuel</t>
  </si>
  <si>
    <t>Confort d'été</t>
  </si>
  <si>
    <t>50h d'inconfort dans l'année justifés par une STD</t>
  </si>
  <si>
    <t>NATURE EN VILLE</t>
  </si>
  <si>
    <t>0,3 en tendant vers 25% de pleine terre</t>
  </si>
  <si>
    <t>Préservation de l'existant, végétalisation des façades et toitures, augmentation du nombre de strates et d'espèces, ajout d'aménités favorables</t>
  </si>
  <si>
    <t>Panneaux photovoltaïques</t>
  </si>
  <si>
    <t>Végétalisation des toitures tout en maximisant le potentiel PV</t>
  </si>
  <si>
    <t>Toiture bio-solaire</t>
  </si>
  <si>
    <t>Eclairage</t>
  </si>
  <si>
    <t>Adaptation de l'éclairage des bâtiments pour la biodiversité</t>
  </si>
  <si>
    <t>ENERGIE &amp; CARBONE</t>
  </si>
  <si>
    <t>Energie</t>
  </si>
  <si>
    <t>Sobriété énergétique</t>
  </si>
  <si>
    <t>Matériaux</t>
  </si>
  <si>
    <t>Impact carbone des matériaux</t>
  </si>
  <si>
    <t>Ic Construction 2022 - 50kgCO2</t>
  </si>
  <si>
    <t>Label biosourcé niveau 3</t>
  </si>
  <si>
    <t>Réemploi des matériaux</t>
  </si>
  <si>
    <t>Diagnostic PEMD et/ou ressources</t>
  </si>
  <si>
    <t>Construction neuve</t>
  </si>
  <si>
    <r>
      <rPr>
        <sz val="9"/>
        <color theme="1"/>
        <rFont val="Calibri"/>
        <family val="2"/>
      </rPr>
      <t>Matériau réemployé pour un ouvrage dans chacune des famil</t>
    </r>
    <r>
      <rPr>
        <sz val="9"/>
        <color theme="1"/>
        <rFont val="Calibri"/>
        <family val="2"/>
      </rPr>
      <t>les structure</t>
    </r>
    <r>
      <rPr>
        <sz val="9"/>
        <color theme="1"/>
        <rFont val="Calibri"/>
        <family val="2"/>
      </rPr>
      <t>, enveloppe et second œuvre</t>
    </r>
  </si>
  <si>
    <t>Prix unitaire</t>
  </si>
  <si>
    <t>Quantité</t>
  </si>
  <si>
    <t>€ HT</t>
  </si>
  <si>
    <t>€ TTC</t>
  </si>
  <si>
    <t>Foncier</t>
  </si>
  <si>
    <t xml:space="preserve">   dont charges foncières</t>
  </si>
  <si>
    <t>LLS</t>
  </si>
  <si>
    <t>TVA 5,5%</t>
  </si>
  <si>
    <t>Autre accession encadrée</t>
  </si>
  <si>
    <t>TVA 20%</t>
  </si>
  <si>
    <t xml:space="preserve">   dont décaissement des conventions de longue durée</t>
  </si>
  <si>
    <t>Travaux</t>
  </si>
  <si>
    <t xml:space="preserve">   dont preparation des sols</t>
  </si>
  <si>
    <t xml:space="preserve">   dont travaux de contruction hors parking</t>
  </si>
  <si>
    <t xml:space="preserve">   dont travaux de construction parking</t>
  </si>
  <si>
    <t>Autres frais</t>
  </si>
  <si>
    <t xml:space="preserve">   dont fiscalité</t>
  </si>
  <si>
    <t xml:space="preserve">   dont honoraires techniques</t>
  </si>
  <si>
    <t xml:space="preserve">   dont honoraires commerciaux / communication / distribution</t>
  </si>
  <si>
    <t xml:space="preserve">   dont honoraires gestion</t>
  </si>
  <si>
    <t xml:space="preserve">   dont frais financiers/juridique/assurance</t>
  </si>
  <si>
    <t xml:space="preserve">   dont BRS immobilier</t>
  </si>
  <si>
    <t xml:space="preserve">   dont BRS foncier</t>
  </si>
  <si>
    <t xml:space="preserve">   dont accession sociale hors BRS (TVA réduite et PSLA)</t>
  </si>
  <si>
    <t xml:space="preserve">   dont prix maîtrisé BxM</t>
  </si>
  <si>
    <t xml:space="preserve">   dont places de stationnement</t>
  </si>
  <si>
    <t>TOTAL RECETTES</t>
  </si>
  <si>
    <t>COMMENTAIRES</t>
  </si>
  <si>
    <r>
      <rPr>
        <sz val="11"/>
        <color rgb="FF000000"/>
        <rFont val="Calibri"/>
        <family val="2"/>
      </rPr>
      <t xml:space="preserve">Si toutes les </t>
    </r>
    <r>
      <rPr>
        <b/>
        <sz val="11"/>
        <color rgb="FF000000"/>
        <rFont val="Calibri"/>
        <family val="2"/>
      </rPr>
      <t>ambitions</t>
    </r>
    <r>
      <rPr>
        <sz val="11"/>
        <color rgb="FF000000"/>
        <rFont val="Calibri"/>
        <family val="2"/>
      </rPr>
      <t xml:space="preserve"> ne peuvent être atteintes, comment avez-vous </t>
    </r>
    <r>
      <rPr>
        <b/>
        <sz val="11"/>
        <color rgb="FF000000"/>
        <rFont val="Calibri"/>
        <family val="2"/>
      </rPr>
      <t>priorisé vos choix</t>
    </r>
    <r>
      <rPr>
        <sz val="11"/>
        <color rgb="FF000000"/>
        <rFont val="Calibri"/>
        <family val="2"/>
      </rPr>
      <t xml:space="preserve"> et quels </t>
    </r>
    <r>
      <rPr>
        <b/>
        <sz val="11"/>
        <color rgb="FF000000"/>
        <rFont val="Calibri"/>
        <family val="2"/>
      </rPr>
      <t>facteurs vous semblent décisifs</t>
    </r>
    <r>
      <rPr>
        <sz val="11"/>
        <color rgb="FF000000"/>
        <rFont val="Calibri"/>
        <family val="2"/>
      </rPr>
      <t xml:space="preserve"> à ce titre pour tenir l'équilibre économique de l'opération ?</t>
    </r>
  </si>
  <si>
    <r>
      <rPr>
        <sz val="11"/>
        <color rgb="FF000000"/>
        <rFont val="Calibri"/>
        <family val="2"/>
      </rPr>
      <t xml:space="preserve">Vous paraît-il possible d'augmenter le </t>
    </r>
    <r>
      <rPr>
        <b/>
        <sz val="11"/>
        <color rgb="FF000000"/>
        <rFont val="Calibri"/>
        <family val="2"/>
      </rPr>
      <t>prix de vente du BRS</t>
    </r>
    <r>
      <rPr>
        <sz val="11"/>
        <color rgb="FF000000"/>
        <rFont val="Calibri"/>
        <family val="2"/>
      </rPr>
      <t xml:space="preserve"> au-delà de celui fixé tout en permettant le développement massif de ce produit ? Et pour quel gain sur la qualité du projet ?</t>
    </r>
  </si>
  <si>
    <r>
      <rPr>
        <sz val="11"/>
        <color rgb="FF000000"/>
        <rFont val="Calibri"/>
        <family val="2"/>
      </rPr>
      <t xml:space="preserve">Plus globalement, existe-t-il une </t>
    </r>
    <r>
      <rPr>
        <b/>
        <sz val="11"/>
        <color rgb="FF000000"/>
        <rFont val="Calibri"/>
        <family val="2"/>
      </rPr>
      <t>part de l'accession encadrée</t>
    </r>
    <r>
      <rPr>
        <sz val="11"/>
        <color rgb="FF000000"/>
        <rFont val="Calibri"/>
        <family val="2"/>
      </rPr>
      <t xml:space="preserve"> qui vous semble plus optimale pour répondre aux demandes des ménages ou garantir les ambitions ? Dans ce cas, pour quel(s) type(s) d'accession encadrée (sociale (BRS ou PSLA) ou autres (TVA réduite, prêt 0% Bx Métropole)) et selon quelle répartition programmatique (sans modifier la part de locatif social) ?</t>
    </r>
  </si>
  <si>
    <r>
      <rPr>
        <sz val="11"/>
        <color rgb="FF000000"/>
        <rFont val="Calibri"/>
        <family val="2"/>
      </rPr>
      <t xml:space="preserve">Quelle serait, selon vous, la </t>
    </r>
    <r>
      <rPr>
        <b/>
        <sz val="11"/>
        <color rgb="FF000000"/>
        <rFont val="Calibri"/>
        <family val="2"/>
      </rPr>
      <t>taille critique/idéale</t>
    </r>
    <r>
      <rPr>
        <sz val="11"/>
        <color rgb="FF000000"/>
        <rFont val="Calibri"/>
        <family val="2"/>
      </rPr>
      <t xml:space="preserve"> d'une opération avec la mixité sociale présentée ici permettant répondre aux ambitions environnementales ?</t>
    </r>
  </si>
  <si>
    <t>Autres remarques</t>
  </si>
  <si>
    <t>Floirac</t>
  </si>
  <si>
    <r>
      <rPr>
        <sz val="11"/>
        <color theme="1"/>
        <rFont val="Symbol"/>
        <family val="1"/>
        <charset val="2"/>
      </rPr>
      <t xml:space="preserve"> </t>
    </r>
    <r>
      <rPr>
        <sz val="11"/>
        <color theme="1"/>
        <rFont val="Calibri"/>
        <family val="2"/>
      </rPr>
      <t>Milieu urbain constitué (chantier complexe et contraint)</t>
    </r>
  </si>
  <si>
    <r>
      <rPr>
        <sz val="11"/>
        <color theme="1"/>
        <rFont val="Symbol"/>
        <family val="1"/>
        <charset val="2"/>
      </rPr>
      <t xml:space="preserve"> </t>
    </r>
    <r>
      <rPr>
        <sz val="11"/>
        <color theme="1"/>
        <rFont val="Calibri"/>
        <family val="2"/>
      </rPr>
      <t>100% logement</t>
    </r>
  </si>
  <si>
    <r>
      <rPr>
        <sz val="11"/>
        <color theme="1"/>
        <rFont val="Symbol"/>
        <family val="1"/>
        <charset val="2"/>
      </rPr>
      <t></t>
    </r>
    <r>
      <rPr>
        <sz val="11"/>
        <color theme="1"/>
        <rFont val="Calibri"/>
        <family val="2"/>
      </rPr>
      <t xml:space="preserve"> </t>
    </r>
    <r>
      <rPr>
        <sz val="11"/>
        <color theme="1"/>
        <rFont val="Calibri"/>
        <family val="2"/>
      </rPr>
      <t>7 000 m² (environ 100 logements)</t>
    </r>
  </si>
  <si>
    <r>
      <rPr>
        <sz val="11"/>
        <color theme="1"/>
        <rFont val="Symbol"/>
        <family val="1"/>
        <charset val="2"/>
      </rPr>
      <t></t>
    </r>
    <r>
      <rPr>
        <sz val="11"/>
        <color theme="1"/>
        <rFont val="Calibri"/>
        <family val="2"/>
      </rPr>
      <t xml:space="preserve"> </t>
    </r>
    <r>
      <rPr>
        <sz val="11"/>
        <color theme="1"/>
        <rFont val="Calibri"/>
        <family val="2"/>
      </rPr>
      <t>Hors 4ème famille, pour un COS d'environ 2,5 (hors parking)</t>
    </r>
  </si>
  <si>
    <r>
      <rPr>
        <sz val="11"/>
        <color theme="1"/>
        <rFont val="Symbol"/>
        <family val="1"/>
        <charset val="2"/>
      </rPr>
      <t></t>
    </r>
    <r>
      <rPr>
        <sz val="11"/>
        <color theme="1"/>
        <rFont val="Calibri"/>
        <family val="2"/>
      </rPr>
      <t xml:space="preserve"> </t>
    </r>
    <r>
      <rPr>
        <sz val="11"/>
        <color theme="1"/>
        <rFont val="Calibri"/>
        <family val="2"/>
      </rPr>
      <t>Eviter les sous sol (interdiction des sous-sols dans le cadre du PPRI)</t>
    </r>
  </si>
  <si>
    <r>
      <rPr>
        <sz val="11"/>
        <color theme="1"/>
        <rFont val="Symbol"/>
        <family val="1"/>
        <charset val="2"/>
      </rPr>
      <t></t>
    </r>
    <r>
      <rPr>
        <sz val="11"/>
        <color theme="1"/>
        <rFont val="Calibri"/>
        <family val="2"/>
      </rPr>
      <t xml:space="preserve"> </t>
    </r>
    <r>
      <rPr>
        <sz val="11"/>
        <color theme="1"/>
        <rFont val="Calibri"/>
        <family val="2"/>
      </rPr>
      <t>Présence de fondations profondes (35m)</t>
    </r>
  </si>
  <si>
    <r>
      <rPr>
        <sz val="11"/>
        <color theme="1"/>
        <rFont val="Symbol"/>
        <family val="1"/>
        <charset val="2"/>
      </rPr>
      <t></t>
    </r>
    <r>
      <rPr>
        <sz val="11"/>
        <color theme="1"/>
        <rFont val="Calibri"/>
        <family val="2"/>
      </rPr>
      <t xml:space="preserve"> Véhicules légers : max 0,5 pl / log pour le locatif social et 1 pl / 100m² SDP pour le reste</t>
    </r>
    <r>
      <rPr>
        <sz val="11"/>
        <color theme="1"/>
        <rFont val="Calibri"/>
        <family val="1"/>
        <charset val="2"/>
      </rPr>
      <t xml:space="preserve"> (0,7 / log)</t>
    </r>
  </si>
  <si>
    <r>
      <rPr>
        <sz val="11"/>
        <color rgb="FF000000"/>
        <rFont val="Symbol"/>
        <family val="1"/>
        <charset val="2"/>
      </rPr>
      <t></t>
    </r>
    <r>
      <rPr>
        <sz val="11"/>
        <color rgb="FF000000"/>
        <rFont val="Calibri"/>
        <family val="2"/>
      </rPr>
      <t xml:space="preserve"> </t>
    </r>
    <r>
      <rPr>
        <sz val="11"/>
        <color rgb="FF000000"/>
        <rFont val="Calibri"/>
        <family val="2"/>
      </rPr>
      <t>Vélos : 5% de la SDP totale hors circulation dans un local en rez-de-chaussée (min 1 pl de 1,5m²/log pour T1 et T2 et 2 pl pour T3 et supérieur)</t>
    </r>
  </si>
  <si>
    <t>(2) Une part faible de T1 pourra être proposée par le porteur de projet et le bailleur social gestionnaire et soumis à accord de l’EPA.
(3) Le porteur de projet privilégiera une part plus importante de T4 sur le développement de T5.</t>
  </si>
  <si>
    <r>
      <rPr>
        <sz val="11"/>
        <color theme="1"/>
        <rFont val="Symbol"/>
        <family val="1"/>
        <charset val="2"/>
      </rPr>
      <t></t>
    </r>
    <r>
      <rPr>
        <sz val="11"/>
        <color theme="1"/>
        <rFont val="Calibri"/>
        <family val="2"/>
      </rPr>
      <t xml:space="preserve"> </t>
    </r>
    <r>
      <rPr>
        <sz val="11"/>
        <color theme="1"/>
        <rFont val="Calibri"/>
        <family val="2"/>
      </rPr>
      <t>Autres produits :</t>
    </r>
  </si>
  <si>
    <r>
      <rPr>
        <sz val="11"/>
        <color theme="1"/>
        <rFont val="Symbol"/>
        <family val="1"/>
        <charset val="2"/>
      </rPr>
      <t xml:space="preserve"> </t>
    </r>
    <r>
      <rPr>
        <sz val="11"/>
        <color theme="1"/>
        <rFont val="Calibri"/>
        <family val="2"/>
      </rPr>
      <t>Logements locatifs sociaux :</t>
    </r>
  </si>
  <si>
    <t>(1) Un maximum de 5% de T1 pourra être proposé par le porteur de projet avec l’accord de l’EPA.
(2) Pour les T5 et plus, les actes de ventes et projets immobiliers pourront prévoir des dispositions permettant la division en deux lots distincts, sans permis de construire modificatif, au terme d’une période de commercialisation demeurée infructueuse pendant un minimum de 1 an après obtention du permis de construire. Cette faculté ne pourra affecter plus de la moitié des T5 et plus projetés</t>
  </si>
  <si>
    <r>
      <rPr>
        <sz val="11"/>
        <color rgb="FF000000"/>
        <rFont val="Symbol"/>
        <family val="1"/>
        <charset val="2"/>
      </rPr>
      <t xml:space="preserve"> </t>
    </r>
    <r>
      <rPr>
        <sz val="11"/>
        <color rgb="FF000000"/>
        <rFont val="Calibri"/>
        <family val="1"/>
        <charset val="2"/>
      </rPr>
      <t>Parking mutualisé : conventions de longue durée, 30 ans, 2 options tarifaires (décaissement initial faible (18 300 € HT / pl) et frais de gestion annuels élevés) OU décaissement initial élevé (21 650€ HT / pl) et frais de gestion annuels faibles). Valeurs à octobre 2022.</t>
    </r>
  </si>
  <si>
    <r>
      <rPr>
        <sz val="11"/>
        <color rgb="FF000000"/>
        <rFont val="Symbol"/>
        <family val="1"/>
        <charset val="2"/>
      </rPr>
      <t xml:space="preserve"> </t>
    </r>
    <r>
      <rPr>
        <sz val="11"/>
        <color rgb="FF000000"/>
        <rFont val="Calibri"/>
        <family val="2"/>
      </rPr>
      <t xml:space="preserve">Parking mutualisé ou in situ : valorisation de place à 23 800 € TTC max. </t>
    </r>
  </si>
  <si>
    <r>
      <t xml:space="preserve">      - Une </t>
    </r>
    <r>
      <rPr>
        <b/>
        <sz val="8"/>
        <color theme="1"/>
        <rFont val="Calibri"/>
        <family val="2"/>
      </rPr>
      <t>base commune</t>
    </r>
    <r>
      <rPr>
        <sz val="8"/>
        <color theme="1"/>
        <rFont val="Calibri"/>
        <family val="2"/>
      </rPr>
      <t xml:space="preserve"> minimale : </t>
    </r>
    <r>
      <rPr>
        <b/>
        <sz val="8"/>
        <color theme="1"/>
        <rFont val="Calibri"/>
        <family val="2"/>
      </rPr>
      <t>tous les projets seront conçus en BIM</t>
    </r>
    <r>
      <rPr>
        <sz val="8"/>
        <color theme="1"/>
        <rFont val="Calibri"/>
        <family val="2"/>
      </rPr>
      <t xml:space="preserve"> dans une maquette en format ouvert géoréférencée. Cette maquette autour de laquelle seront organisées les </t>
    </r>
    <r>
      <rPr>
        <b/>
        <sz val="8"/>
        <color theme="1"/>
        <rFont val="Calibri"/>
        <family val="2"/>
      </rPr>
      <t>revues de projet avec l'EPA</t>
    </r>
    <r>
      <rPr>
        <sz val="8"/>
        <color theme="1"/>
        <rFont val="Calibri"/>
        <family val="2"/>
      </rPr>
      <t xml:space="preserve">, sera partagée sur une </t>
    </r>
    <r>
      <rPr>
        <b/>
        <sz val="8"/>
        <color theme="1"/>
        <rFont val="Calibri"/>
        <family val="2"/>
      </rPr>
      <t>plateforme collaborative</t>
    </r>
    <r>
      <rPr>
        <sz val="8"/>
        <color theme="1"/>
        <rFont val="Calibri"/>
        <family val="2"/>
      </rPr>
      <t xml:space="preserve"> qui permettra la </t>
    </r>
    <r>
      <rPr>
        <b/>
        <sz val="8"/>
        <color theme="1"/>
        <rFont val="Calibri"/>
        <family val="2"/>
      </rPr>
      <t>visualisation</t>
    </r>
    <r>
      <rPr>
        <sz val="8"/>
        <color theme="1"/>
        <rFont val="Calibri"/>
        <family val="2"/>
      </rPr>
      <t xml:space="preserve"> et le dépôt des </t>
    </r>
    <r>
      <rPr>
        <b/>
        <sz val="8"/>
        <color theme="1"/>
        <rFont val="Calibri"/>
        <family val="2"/>
      </rPr>
      <t>livrables des plans</t>
    </r>
    <r>
      <rPr>
        <sz val="8"/>
        <color theme="1"/>
        <rFont val="Calibri"/>
        <family val="2"/>
      </rPr>
      <t xml:space="preserve"> exigés contractuellement. Elle servira enfin à la </t>
    </r>
    <r>
      <rPr>
        <b/>
        <sz val="8"/>
        <color theme="1"/>
        <rFont val="Calibri"/>
        <family val="2"/>
      </rPr>
      <t>communication</t>
    </r>
    <r>
      <rPr>
        <sz val="8"/>
        <color theme="1"/>
        <rFont val="Calibri"/>
        <family val="2"/>
      </rPr>
      <t xml:space="preserve"> du projet auprès du grand public.</t>
    </r>
  </si>
  <si>
    <r>
      <t xml:space="preserve">      - Des </t>
    </r>
    <r>
      <rPr>
        <b/>
        <sz val="8"/>
        <color theme="1"/>
        <rFont val="Calibri"/>
        <family val="2"/>
      </rPr>
      <t>ambitions complémentaires à la carte</t>
    </r>
    <r>
      <rPr>
        <sz val="8"/>
        <color theme="1"/>
        <rFont val="Calibri"/>
        <family val="2"/>
      </rPr>
      <t xml:space="preserve"> seront discutées et établies en fonction de la stratégie des acteurs ou des spécificités du projet : suivi d'indicateurs, phasage chantier, carbone, quantitatifs/métrés, sécurité incendie, autorisations administratives, gestion interfaces, programmation...</t>
    </r>
  </si>
  <si>
    <t xml:space="preserve">Cette partie vise à détailler et classer, au sein des caractéristiques de l'opération, les pistes crédibles d'optimisation du bilan et de maîtrise des coûts permettant d'atteindre les ambitions fixées. </t>
  </si>
  <si>
    <t>Dispositifs d'accession encadrée à la propriété (liste limitative)</t>
  </si>
  <si>
    <t>Caractéristiques</t>
  </si>
  <si>
    <t>Scenarios de programmation</t>
  </si>
  <si>
    <r>
      <t xml:space="preserve">   - </t>
    </r>
    <r>
      <rPr>
        <b/>
        <sz val="9"/>
        <color rgb="FF000000"/>
        <rFont val="Calibri"/>
        <family val="2"/>
      </rPr>
      <t>BRS : 2670 € HT / m² SU</t>
    </r>
    <r>
      <rPr>
        <sz val="9"/>
        <color rgb="FF000000"/>
        <rFont val="Calibri"/>
        <family val="2"/>
      </rPr>
      <t xml:space="preserve"> (20% en-dessous du plafond réglementaire du PSLA de 3 338 € HT / m² SU pour 2023)
   - </t>
    </r>
    <r>
      <rPr>
        <b/>
        <sz val="9"/>
        <color rgb="FF000000"/>
        <rFont val="Calibri"/>
        <family val="2"/>
      </rPr>
      <t>TVA réduite et PSLA : 3 338 € HT / m² SU</t>
    </r>
    <r>
      <rPr>
        <sz val="9"/>
        <color rgb="FF000000"/>
        <rFont val="Calibri"/>
        <family val="2"/>
      </rPr>
      <t xml:space="preserve">
   - </t>
    </r>
    <r>
      <rPr>
        <b/>
        <sz val="9"/>
        <color rgb="FF000000"/>
        <rFont val="Calibri"/>
        <family val="2"/>
      </rPr>
      <t>Prix maîtrisé BxM : 3 000 € TTC / m² SHAB hors ext</t>
    </r>
    <r>
      <rPr>
        <sz val="9"/>
        <color rgb="FF000000"/>
        <rFont val="Calibri"/>
        <family val="2"/>
      </rPr>
      <t xml:space="preserve"> (ext valorisés à 50% de 6 à 9 m²)</t>
    </r>
  </si>
  <si>
    <t>Charge foncière</t>
  </si>
  <si>
    <r>
      <t xml:space="preserve">Optimisation et modification de la </t>
    </r>
    <r>
      <rPr>
        <b/>
        <i/>
        <sz val="11"/>
        <color theme="1"/>
        <rFont val="Calibri"/>
        <family val="2"/>
      </rPr>
      <t>matérialité des façades</t>
    </r>
  </si>
  <si>
    <r>
      <t>Démolition</t>
    </r>
    <r>
      <rPr>
        <vertAlign val="superscript"/>
        <sz val="11"/>
        <color theme="1"/>
        <rFont val="Calibri"/>
        <family val="2"/>
      </rPr>
      <t xml:space="preserve"> (5)</t>
    </r>
  </si>
  <si>
    <r>
      <t>Coefficient biotope CBS+</t>
    </r>
    <r>
      <rPr>
        <b/>
        <i/>
        <vertAlign val="superscript"/>
        <sz val="11"/>
        <color rgb="FF000000"/>
        <rFont val="Calibri"/>
        <family val="2"/>
      </rPr>
      <t xml:space="preserve"> (3)</t>
    </r>
  </si>
  <si>
    <r>
      <t>Score bois de 50%</t>
    </r>
    <r>
      <rPr>
        <vertAlign val="superscript"/>
        <sz val="9"/>
        <color theme="1"/>
        <rFont val="Calibri"/>
        <family val="2"/>
      </rPr>
      <t xml:space="preserve"> (4)</t>
    </r>
  </si>
  <si>
    <r>
      <t xml:space="preserve">NF HQE 9* </t>
    </r>
    <r>
      <rPr>
        <vertAlign val="superscript"/>
        <sz val="11"/>
        <color theme="1"/>
        <rFont val="Calibri"/>
        <family val="2"/>
      </rPr>
      <t>(1)</t>
    </r>
    <r>
      <rPr>
        <sz val="11"/>
        <color theme="1"/>
        <rFont val="Calibri"/>
        <family val="2"/>
      </rPr>
      <t xml:space="preserve"> ou BDNA </t>
    </r>
    <r>
      <rPr>
        <vertAlign val="superscript"/>
        <sz val="11"/>
        <color theme="1"/>
        <rFont val="Calibri"/>
        <family val="2"/>
      </rPr>
      <t>(2)</t>
    </r>
    <r>
      <rPr>
        <sz val="11"/>
        <color theme="1"/>
        <rFont val="Calibri"/>
        <family val="2"/>
      </rPr>
      <t xml:space="preserve"> niveau</t>
    </r>
    <r>
      <rPr>
        <sz val="11"/>
        <color theme="1"/>
        <rFont val="Calibri"/>
        <family val="2"/>
      </rPr>
      <t xml:space="preserve"> Argent</t>
    </r>
  </si>
  <si>
    <r>
      <t xml:space="preserve">Bbio ≤ Bbio max </t>
    </r>
    <r>
      <rPr>
        <sz val="9"/>
        <color theme="1"/>
        <rFont val="Calibri"/>
        <family val="2"/>
      </rPr>
      <t>- 15%</t>
    </r>
  </si>
  <si>
    <t>Cep ≤ Cep max - 20%</t>
  </si>
  <si>
    <r>
      <rPr>
        <vertAlign val="superscript"/>
        <sz val="9"/>
        <color theme="1"/>
        <rFont val="Calibri"/>
        <family val="2"/>
      </rPr>
      <t>(1)</t>
    </r>
    <r>
      <rPr>
        <sz val="9"/>
        <color theme="1"/>
        <rFont val="Calibri"/>
        <family val="2"/>
      </rPr>
      <t xml:space="preserve"> cf. </t>
    </r>
    <r>
      <rPr>
        <u/>
        <sz val="9"/>
        <color theme="8" tint="-0.499984740745262"/>
        <rFont val="Calibri"/>
        <family val="2"/>
      </rPr>
      <t>qualitel.org/professionnels/documentation/referentiels-nf-habitat-hqe</t>
    </r>
    <r>
      <rPr>
        <sz val="9"/>
        <color theme="1"/>
        <rFont val="Calibri"/>
        <family val="2"/>
      </rPr>
      <t xml:space="preserve"> / </t>
    </r>
    <r>
      <rPr>
        <vertAlign val="superscript"/>
        <sz val="9"/>
        <color theme="1"/>
        <rFont val="Calibri"/>
        <family val="2"/>
      </rPr>
      <t>(2)</t>
    </r>
    <r>
      <rPr>
        <sz val="9"/>
        <color theme="1"/>
        <rFont val="Calibri"/>
        <family val="2"/>
      </rPr>
      <t xml:space="preserve"> cf. </t>
    </r>
    <r>
      <rPr>
        <u/>
        <sz val="9"/>
        <color theme="8" tint="-0.499984740745262"/>
        <rFont val="Calibri"/>
        <family val="2"/>
      </rPr>
      <t>demarchebdna.fr</t>
    </r>
    <r>
      <rPr>
        <sz val="9"/>
        <color theme="1"/>
        <rFont val="Calibri"/>
        <family val="2"/>
      </rPr>
      <t xml:space="preserve"> / </t>
    </r>
    <r>
      <rPr>
        <vertAlign val="superscript"/>
        <sz val="9"/>
        <color theme="1"/>
        <rFont val="Calibri"/>
        <family val="2"/>
      </rPr>
      <t>(3)</t>
    </r>
    <r>
      <rPr>
        <sz val="9"/>
        <color theme="1"/>
        <rFont val="Calibri"/>
        <family val="2"/>
      </rPr>
      <t xml:space="preserve"> cf. annexe CBS+ / </t>
    </r>
    <r>
      <rPr>
        <vertAlign val="superscript"/>
        <sz val="9"/>
        <color theme="1"/>
        <rFont val="Calibri"/>
        <family val="2"/>
      </rPr>
      <t>(4)</t>
    </r>
    <r>
      <rPr>
        <sz val="9"/>
        <color theme="1"/>
        <rFont val="Calibri"/>
        <family val="2"/>
      </rPr>
      <t xml:space="preserve"> cf. annexe score bois / </t>
    </r>
    <r>
      <rPr>
        <vertAlign val="superscript"/>
        <sz val="9"/>
        <color theme="1"/>
        <rFont val="Calibri"/>
        <family val="2"/>
      </rPr>
      <t>(5)</t>
    </r>
    <r>
      <rPr>
        <sz val="9"/>
        <color theme="1"/>
        <rFont val="Calibri"/>
        <family val="2"/>
      </rPr>
      <t xml:space="preserve"> si démolition existant</t>
    </r>
  </si>
  <si>
    <t>Exigences HQE ou BDNA traitant les bruits solidiens et aériens</t>
  </si>
  <si>
    <t>Exigences HQE ou BDNA traitant l'optimisation des apports en lumière naturelle</t>
  </si>
  <si>
    <t>Exigences HQE ou BDNA traitant le nombre d'heures d'inconfort en saison chaude</t>
  </si>
  <si>
    <t>Type de bailleur répondant au test</t>
  </si>
  <si>
    <t>A. MOD 100% LLS</t>
  </si>
  <si>
    <t>B. MOD LLS + Accession sociale</t>
  </si>
  <si>
    <r>
      <t xml:space="preserve">30%
</t>
    </r>
    <r>
      <rPr>
        <sz val="11"/>
        <rFont val="Calibri"/>
        <family val="2"/>
      </rPr>
      <t>dont la moitié min en BRS</t>
    </r>
  </si>
  <si>
    <t>LLS en MOD</t>
  </si>
  <si>
    <t>s.o.</t>
  </si>
  <si>
    <r>
      <t xml:space="preserve">275 € / 350 € BRS </t>
    </r>
    <r>
      <rPr>
        <i/>
        <vertAlign val="superscript"/>
        <sz val="11"/>
        <color theme="1"/>
        <rFont val="Calibri"/>
        <family val="2"/>
      </rPr>
      <t>(1)</t>
    </r>
  </si>
  <si>
    <r>
      <t xml:space="preserve">Plafond réglementaire </t>
    </r>
    <r>
      <rPr>
        <i/>
        <vertAlign val="superscript"/>
        <sz val="11"/>
        <color theme="1"/>
        <rFont val="Calibri"/>
        <family val="2"/>
      </rPr>
      <t>(2)</t>
    </r>
    <r>
      <rPr>
        <i/>
        <sz val="11"/>
        <color theme="1"/>
        <rFont val="Calibri"/>
        <family val="2"/>
      </rPr>
      <t xml:space="preserve"> sauf BRS plafonné à -20% plafond PSLA</t>
    </r>
  </si>
  <si>
    <r>
      <rPr>
        <i/>
        <vertAlign val="superscript"/>
        <sz val="9"/>
        <color theme="1"/>
        <rFont val="Calibri"/>
        <family val="2"/>
      </rPr>
      <t>(1)</t>
    </r>
    <r>
      <rPr>
        <i/>
        <sz val="9"/>
        <color theme="1"/>
        <rFont val="Calibri"/>
        <family val="2"/>
      </rPr>
      <t xml:space="preserve"> BRS : foncier acquis par un OFS contre une redevance mensuelle plafonnée à 1,5 € / m² SHAB</t>
    </r>
  </si>
  <si>
    <r>
      <rPr>
        <i/>
        <vertAlign val="superscript"/>
        <sz val="9"/>
        <rFont val="Calibri"/>
        <family val="2"/>
      </rPr>
      <t>(2)</t>
    </r>
    <r>
      <rPr>
        <i/>
        <sz val="9"/>
        <rFont val="Calibri"/>
        <family val="2"/>
      </rPr>
      <t xml:space="preserve">    - PSLA : cf. arrêté du 26 mars 2004 relatif aux conditions d’application des dispositions de la sous-section 2 bis relative aux prêts conventionnés pour des opérations de location-accession à la propriété immobilière modifié par arrêté du 30 septembre 2014. Actualisation annuelle.
       - Prix maîtrisé de Bordeaux Métropole : cf. délibération N° 2019-465 du 12 juillet 2019. Logements éligibles au prêt à taux zéro de Bordeaux Métropole sous conditions de ressource. Prix plafonné à 3 000 € TTC / m² SHAB hors parking hors extérieurs (ext valorisés à 50% de 6 à 9 m²)</t>
    </r>
  </si>
  <si>
    <r>
      <t xml:space="preserve">50%
</t>
    </r>
    <r>
      <rPr>
        <sz val="11"/>
        <rFont val="Calibri"/>
        <family val="2"/>
      </rPr>
      <t>dont la moitié min en BRS</t>
    </r>
  </si>
  <si>
    <r>
      <t>Modification de la</t>
    </r>
    <r>
      <rPr>
        <b/>
        <i/>
        <sz val="11"/>
        <color theme="1"/>
        <rFont val="Calibri"/>
        <family val="2"/>
      </rPr>
      <t xml:space="preserve"> taille des logements</t>
    </r>
    <r>
      <rPr>
        <i/>
        <sz val="11"/>
        <color theme="1"/>
        <rFont val="Calibri"/>
        <family val="2"/>
      </rPr>
      <t xml:space="preserve"> (en lien par exemple avec les majorations locales de loyers)</t>
    </r>
  </si>
  <si>
    <r>
      <t xml:space="preserve">Diminution du </t>
    </r>
    <r>
      <rPr>
        <b/>
        <i/>
        <sz val="11"/>
        <color theme="1"/>
        <rFont val="Calibri"/>
        <family val="2"/>
      </rPr>
      <t>nombre de stationnements</t>
    </r>
    <r>
      <rPr>
        <i/>
        <sz val="11"/>
        <color theme="1"/>
        <rFont val="Calibri"/>
        <family val="2"/>
      </rPr>
      <t xml:space="preserve"> exigibles pour le logement locatif social</t>
    </r>
  </si>
  <si>
    <r>
      <t xml:space="preserve">Dans le cadre d'opérations comprenant une part de logements en accession libre, la </t>
    </r>
    <r>
      <rPr>
        <b/>
        <i/>
        <sz val="11"/>
        <color theme="1"/>
        <rFont val="Calibri"/>
        <family val="2"/>
      </rPr>
      <t>VEFA inversée</t>
    </r>
    <r>
      <rPr>
        <i/>
        <sz val="11"/>
        <color theme="1"/>
        <rFont val="Calibri"/>
        <family val="2"/>
      </rPr>
      <t xml:space="preserve"> est-elle une piste à explorer selon vous ? Si oui, dans quelle proportion ?</t>
    </r>
  </si>
  <si>
    <t>Il a été choisi de tester 2 scenarios à des secteurs différenciés en ce qui concerne la part de logements locatifs sociaux à produire. Ces scenarios sont croisés avec 2 types de programmation : 100% LLS ou mixte LLS et accession encadrée.
Les opérateurs sont tout d'abord invités à prendre en compte ces scénarios dans les onglets de simulation correspondant. Des questions ouvertes à la fin de ces onglets et la partie "Optimisations" permettent de proposer des scénarios alternatifs ou des adaptations de la programmation pour améliorer l'équilibre global des opérations.</t>
  </si>
  <si>
    <t>Bègles-Bordeaux-Floirac</t>
  </si>
  <si>
    <t>Scénarios 1&amp;2A</t>
  </si>
  <si>
    <t>PRIX DE REVIENT DE L'OPERATION</t>
  </si>
  <si>
    <t>Prix de revient de l'opération</t>
  </si>
  <si>
    <t>Recettes de l'opération d'accession encadrée</t>
  </si>
  <si>
    <t>TOTAL PRIX DE REVIENT</t>
  </si>
  <si>
    <r>
      <t xml:space="preserve">Dans la quote-part de LLS, y a -t-il pour vous un </t>
    </r>
    <r>
      <rPr>
        <b/>
        <sz val="11"/>
        <color rgb="FF000000"/>
        <rFont val="Calibri"/>
        <family val="2"/>
      </rPr>
      <t>intérêt au développement de logements en résidences services</t>
    </r>
    <r>
      <rPr>
        <sz val="11"/>
        <color rgb="FF000000"/>
        <rFont val="Calibri"/>
        <family val="2"/>
      </rPr>
      <t xml:space="preserve"> ? Si oui, lesquels et dans quelles proportions ?</t>
    </r>
  </si>
  <si>
    <t>du coût travaux HT</t>
  </si>
  <si>
    <t>Scénarios 2B</t>
  </si>
  <si>
    <t>Scénarios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</si>
</sst>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0\ &quot;€&quot;;[Red]\-#,##0\ &quot;€&quot;"/>
    <numFmt numFmtId="164" formatCode="#\ ##0&quot; € TTC / m² SHAB&quot;"/>
    <numFmt numFmtId="165" formatCode="#,##0&quot; m²&quot;"/>
    <numFmt numFmtId="166" formatCode="#\ ##0&quot; € HT / m² SHAB&quot;"/>
    <numFmt numFmtId="167" formatCode="#,##0.00\ [$€-1]"/>
    <numFmt numFmtId="168" formatCode="0.0%"/>
    <numFmt numFmtId="169" formatCode="_-* #,##0\ &quot;€&quot;_-;\-* #,##0\ &quot;€&quot;_-;_-* &quot;-&quot;??\ &quot;€&quot;_-;_-@"/>
    <numFmt numFmtId="170" formatCode="#\ ##0&quot; € HT / m² SDP&quot;"/>
    <numFmt numFmtId="171" formatCode="#\ ##0"/>
    <numFmt numFmtId="172" formatCode="#\ ##0&quot; € HT / pl&quot;"/>
    <numFmt numFmtId="173" formatCode="#\ ##0&quot; pl&quot;"/>
    <numFmt numFmtId="174" formatCode="_-* #,##0.00\ &quot;€&quot;_-;\-* #,##0.00\ &quot;€&quot;_-;_-* &quot;-&quot;??\ &quot;€&quot;_-;_-@"/>
    <numFmt numFmtId="175" formatCode="#\ ##0&quot; € HT / m² SU&quot;"/>
    <numFmt numFmtId="176" formatCode="#\ ##0&quot; € TTC / pl&quot;"/>
    <numFmt numFmtId="177" formatCode="0.0%&quot; du prix de revient&quot;"/>
  </numFmts>
  <fonts count="57">
    <font>
      <sz val="11"/>
      <color theme="1"/>
      <name val="Calibri"/>
      <scheme val="minor"/>
    </font>
    <font>
      <sz val="11"/>
      <color theme="1"/>
      <name val="Calibri"/>
      <family val="2"/>
      <scheme val="minor"/>
    </font>
    <font>
      <b/>
      <sz val="11"/>
      <color theme="1"/>
      <name val="Calibri"/>
      <family val="2"/>
    </font>
    <font>
      <sz val="11"/>
      <name val="Calibri"/>
      <family val="2"/>
    </font>
    <font>
      <sz val="11"/>
      <color theme="1"/>
      <name val="Calibri"/>
      <family val="2"/>
    </font>
    <font>
      <b/>
      <sz val="14"/>
      <color theme="1"/>
      <name val="Calibri"/>
      <family val="2"/>
    </font>
    <font>
      <i/>
      <sz val="11"/>
      <color theme="1"/>
      <name val="Calibri"/>
      <family val="2"/>
    </font>
    <font>
      <b/>
      <i/>
      <sz val="11"/>
      <color theme="1"/>
      <name val="Calibri"/>
      <family val="2"/>
    </font>
    <font>
      <sz val="9"/>
      <color theme="1"/>
      <name val="Calibri"/>
      <family val="2"/>
    </font>
    <font>
      <i/>
      <sz val="9"/>
      <color theme="1"/>
      <name val="Calibri"/>
      <family val="2"/>
    </font>
    <font>
      <i/>
      <sz val="9"/>
      <color rgb="FF000000"/>
      <name val="Calibri"/>
      <family val="2"/>
    </font>
    <font>
      <b/>
      <sz val="12"/>
      <color theme="1"/>
      <name val="Calibri"/>
      <family val="2"/>
    </font>
    <font>
      <sz val="11"/>
      <color rgb="FF000000"/>
      <name val="Calibri"/>
      <family val="2"/>
    </font>
    <font>
      <b/>
      <sz val="20"/>
      <color rgb="FFFFFFFF"/>
      <name val="Calibri"/>
      <family val="2"/>
    </font>
    <font>
      <b/>
      <sz val="14"/>
      <color rgb="FFFFFFFF"/>
      <name val="Calibri"/>
      <family val="2"/>
      <scheme val="minor"/>
    </font>
    <font>
      <sz val="11"/>
      <color rgb="FFFFFFFF"/>
      <name val="Calibri"/>
      <family val="2"/>
    </font>
    <font>
      <b/>
      <sz val="16"/>
      <color theme="0"/>
      <name val="Calibri"/>
      <family val="2"/>
    </font>
    <font>
      <b/>
      <sz val="16"/>
      <color theme="1"/>
      <name val="Calibri"/>
      <family val="2"/>
    </font>
    <font>
      <sz val="9"/>
      <color rgb="FF000000"/>
      <name val="Calibri"/>
      <family val="2"/>
    </font>
    <font>
      <b/>
      <i/>
      <sz val="11"/>
      <color rgb="FF000000"/>
      <name val="Calibri"/>
      <family val="2"/>
    </font>
    <font>
      <b/>
      <sz val="18"/>
      <color theme="1"/>
      <name val="Calibri"/>
      <family val="2"/>
    </font>
    <font>
      <b/>
      <sz val="9"/>
      <color theme="1"/>
      <name val="Calibri"/>
      <family val="2"/>
    </font>
    <font>
      <b/>
      <i/>
      <sz val="9"/>
      <color theme="1"/>
      <name val="Calibri"/>
      <family val="2"/>
    </font>
    <font>
      <b/>
      <sz val="11"/>
      <color rgb="FF000000"/>
      <name val="Calibri"/>
      <family val="2"/>
    </font>
    <font>
      <i/>
      <vertAlign val="superscript"/>
      <sz val="11"/>
      <color theme="1"/>
      <name val="Calibri"/>
      <family val="2"/>
    </font>
    <font>
      <sz val="11"/>
      <color theme="1"/>
      <name val="Symbol"/>
      <family val="1"/>
      <charset val="2"/>
    </font>
    <font>
      <vertAlign val="superscript"/>
      <sz val="11"/>
      <color theme="1"/>
      <name val="Calibri"/>
      <family val="2"/>
    </font>
    <font>
      <b/>
      <sz val="9"/>
      <color rgb="FF000000"/>
      <name val="Calibri"/>
      <family val="2"/>
    </font>
    <font>
      <b/>
      <i/>
      <vertAlign val="superscript"/>
      <sz val="11"/>
      <color rgb="FF000000"/>
      <name val="Calibri"/>
      <family val="2"/>
    </font>
    <font>
      <vertAlign val="superscript"/>
      <sz val="9"/>
      <color theme="1"/>
      <name val="Calibri"/>
      <family val="2"/>
    </font>
    <font>
      <i/>
      <sz val="11"/>
      <color theme="1"/>
      <name val="Calibri"/>
      <family val="2"/>
    </font>
    <font>
      <b/>
      <sz val="11"/>
      <color theme="1"/>
      <name val="Calibri"/>
      <family val="2"/>
    </font>
    <font>
      <sz val="11"/>
      <color theme="1"/>
      <name val="Calibri"/>
      <family val="2"/>
    </font>
    <font>
      <b/>
      <sz val="16"/>
      <color theme="1"/>
      <name val="Calibri"/>
      <family val="2"/>
    </font>
    <font>
      <b/>
      <sz val="20"/>
      <color theme="2"/>
      <name val="Calibri"/>
      <family val="2"/>
    </font>
    <font>
      <sz val="11"/>
      <color rgb="FF000000"/>
      <name val="Symbol"/>
      <family val="1"/>
      <charset val="2"/>
    </font>
    <font>
      <sz val="11"/>
      <color rgb="FF000000"/>
      <name val="Calibri"/>
      <family val="1"/>
      <charset val="2"/>
    </font>
    <font>
      <sz val="11"/>
      <color theme="1"/>
      <name val="Calibri"/>
      <family val="1"/>
      <charset val="2"/>
    </font>
    <font>
      <b/>
      <i/>
      <sz val="11"/>
      <name val="Calibri"/>
      <family val="2"/>
    </font>
    <font>
      <i/>
      <sz val="11"/>
      <name val="Calibri"/>
      <family val="2"/>
    </font>
    <font>
      <i/>
      <sz val="11"/>
      <name val="Calibri"/>
      <family val="2"/>
      <scheme val="minor"/>
    </font>
    <font>
      <sz val="8"/>
      <color theme="1"/>
      <name val="Calibri"/>
      <family val="2"/>
    </font>
    <font>
      <b/>
      <sz val="11"/>
      <name val="Calibri"/>
      <family val="2"/>
    </font>
    <font>
      <sz val="11"/>
      <name val="Calibri"/>
      <family val="2"/>
      <scheme val="minor"/>
    </font>
    <font>
      <i/>
      <sz val="9"/>
      <color theme="1"/>
      <name val="Calibri"/>
      <family val="2"/>
    </font>
    <font>
      <i/>
      <sz val="9"/>
      <color theme="1"/>
      <name val="Calibri"/>
      <family val="2"/>
      <scheme val="minor"/>
    </font>
    <font>
      <b/>
      <sz val="8"/>
      <color theme="1"/>
      <name val="Calibri"/>
      <family val="2"/>
    </font>
    <font>
      <b/>
      <sz val="14"/>
      <color theme="1"/>
      <name val="Calibri"/>
      <family val="2"/>
    </font>
    <font>
      <sz val="9"/>
      <name val="Calibri"/>
      <family val="2"/>
    </font>
    <font>
      <sz val="9"/>
      <color rgb="FF000000"/>
      <name val="Calibri"/>
      <family val="2"/>
    </font>
    <font>
      <i/>
      <sz val="9"/>
      <name val="Calibri"/>
      <family val="2"/>
    </font>
    <font>
      <b/>
      <sz val="14"/>
      <name val="Calibri"/>
      <family val="2"/>
    </font>
    <font>
      <b/>
      <i/>
      <sz val="11"/>
      <color rgb="FF000000"/>
      <name val="Calibri"/>
      <family val="2"/>
    </font>
    <font>
      <sz val="9"/>
      <color theme="1"/>
      <name val="Calibri"/>
      <family val="2"/>
    </font>
    <font>
      <u/>
      <sz val="9"/>
      <color theme="8" tint="-0.499984740745262"/>
      <name val="Calibri"/>
      <family val="2"/>
    </font>
    <font>
      <i/>
      <vertAlign val="superscript"/>
      <sz val="9"/>
      <color theme="1"/>
      <name val="Calibri"/>
      <family val="2"/>
    </font>
    <font>
      <i/>
      <vertAlign val="superscript"/>
      <sz val="9"/>
      <name val="Calibri"/>
      <family val="2"/>
    </font>
  </fonts>
  <fills count="24">
    <fill>
      <patternFill patternType="none"/>
    </fill>
    <fill>
      <patternFill patternType="gray125"/>
    </fill>
    <fill>
      <patternFill patternType="solid">
        <fgColor rgb="FFD3E5DE"/>
        <bgColor rgb="FFD3E5DE"/>
      </patternFill>
    </fill>
    <fill>
      <patternFill patternType="solid">
        <fgColor theme="0"/>
        <bgColor theme="0"/>
      </patternFill>
    </fill>
    <fill>
      <patternFill patternType="solid">
        <fgColor rgb="FFFFFFFF"/>
        <bgColor rgb="FFFFFFFF"/>
      </patternFill>
    </fill>
    <fill>
      <patternFill patternType="solid">
        <fgColor theme="4"/>
        <bgColor theme="4"/>
      </patternFill>
    </fill>
    <fill>
      <patternFill patternType="solid">
        <fgColor rgb="FFE4ACFA"/>
        <bgColor rgb="FFE4ACFA"/>
      </patternFill>
    </fill>
    <fill>
      <patternFill patternType="solid">
        <fgColor rgb="FF99C3B2"/>
        <bgColor rgb="FF99C3B2"/>
      </patternFill>
    </fill>
    <fill>
      <patternFill patternType="solid">
        <fgColor rgb="FFEBDDCA"/>
        <bgColor rgb="FFEBDDCA"/>
      </patternFill>
    </fill>
    <fill>
      <patternFill patternType="solid">
        <fgColor rgb="FFD9E2F3"/>
        <bgColor rgb="FFD9E2F3"/>
      </patternFill>
    </fill>
    <fill>
      <patternFill patternType="solid">
        <fgColor rgb="FF6D9EEB"/>
        <bgColor rgb="FF6D9EEB"/>
      </patternFill>
    </fill>
    <fill>
      <patternFill patternType="solid">
        <fgColor theme="0"/>
        <bgColor indexed="64"/>
      </patternFill>
    </fill>
    <fill>
      <patternFill patternType="solid">
        <fgColor theme="0"/>
        <bgColor rgb="FFFFFFFF"/>
      </patternFill>
    </fill>
    <fill>
      <patternFill patternType="solid">
        <fgColor theme="9"/>
        <bgColor theme="4"/>
      </patternFill>
    </fill>
    <fill>
      <patternFill patternType="solid">
        <fgColor theme="4"/>
        <bgColor indexed="64"/>
      </patternFill>
    </fill>
    <fill>
      <patternFill patternType="solid">
        <fgColor theme="4"/>
        <bgColor theme="0"/>
      </patternFill>
    </fill>
    <fill>
      <patternFill patternType="solid">
        <fgColor theme="4" tint="0.79998168889431442"/>
        <bgColor rgb="FFD9E2F3"/>
      </patternFill>
    </fill>
    <fill>
      <patternFill patternType="solid">
        <fgColor theme="4" tint="0.79998168889431442"/>
        <bgColor rgb="FFCFE2F3"/>
      </patternFill>
    </fill>
    <fill>
      <patternFill patternType="solid">
        <fgColor theme="4" tint="0.79998168889431442"/>
        <bgColor indexed="64"/>
      </patternFill>
    </fill>
    <fill>
      <patternFill patternType="solid">
        <fgColor theme="4" tint="0.79998168889431442"/>
        <bgColor theme="0"/>
      </patternFill>
    </fill>
    <fill>
      <patternFill patternType="solid">
        <fgColor rgb="FFD3E5DE"/>
        <bgColor theme="0"/>
      </patternFill>
    </fill>
    <fill>
      <patternFill patternType="solid">
        <fgColor theme="0"/>
        <bgColor rgb="FFD3E5DE"/>
      </patternFill>
    </fill>
    <fill>
      <patternFill patternType="solid">
        <fgColor theme="0"/>
        <bgColor rgb="FFD9D9D9"/>
      </patternFill>
    </fill>
    <fill>
      <patternFill patternType="solid">
        <fgColor theme="0"/>
        <bgColor rgb="FFD5A6BD"/>
      </patternFill>
    </fill>
  </fills>
  <borders count="83">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medium">
        <color rgb="FF4472C4"/>
      </left>
      <right style="medium">
        <color rgb="FF4472C4"/>
      </right>
      <top style="medium">
        <color rgb="FF4472C4"/>
      </top>
      <bottom style="medium">
        <color rgb="FF4472C4"/>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top style="thin">
        <color rgb="FF000000"/>
      </top>
      <bottom style="dotted">
        <color rgb="FF000000"/>
      </bottom>
      <diagonal/>
    </border>
    <border>
      <left/>
      <right style="thin">
        <color rgb="FF000000"/>
      </right>
      <top style="thin">
        <color rgb="FF000000"/>
      </top>
      <bottom style="dotted">
        <color rgb="FF000000"/>
      </bottom>
      <diagonal/>
    </border>
    <border>
      <left style="thin">
        <color rgb="FF000000"/>
      </left>
      <right style="thin">
        <color rgb="FF000000"/>
      </right>
      <top style="dotted">
        <color rgb="FF000000"/>
      </top>
      <bottom/>
      <diagonal/>
    </border>
    <border>
      <left style="thin">
        <color rgb="FF000000"/>
      </left>
      <right/>
      <top style="dotted">
        <color rgb="FF000000"/>
      </top>
      <bottom/>
      <diagonal/>
    </border>
    <border>
      <left/>
      <right style="thin">
        <color rgb="FF000000"/>
      </right>
      <top style="dotted">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dotted">
        <color rgb="FF000000"/>
      </bottom>
      <diagonal/>
    </border>
    <border>
      <left style="thin">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style="dotted">
        <color rgb="FF000000"/>
      </top>
      <bottom style="dotted">
        <color rgb="FF000000"/>
      </bottom>
      <diagonal/>
    </border>
    <border>
      <left/>
      <right style="thin">
        <color rgb="FF000000"/>
      </right>
      <top style="dotted">
        <color rgb="FF000000"/>
      </top>
      <bottom style="dotted">
        <color rgb="FF000000"/>
      </bottom>
      <diagonal/>
    </border>
    <border>
      <left style="thin">
        <color rgb="FF000000"/>
      </left>
      <right style="thin">
        <color rgb="FF000000"/>
      </right>
      <top style="dotted">
        <color rgb="FF000000"/>
      </top>
      <bottom/>
      <diagonal/>
    </border>
    <border>
      <left style="thin">
        <color rgb="FF000000"/>
      </left>
      <right style="thin">
        <color rgb="FF000000"/>
      </right>
      <top/>
      <bottom/>
      <diagonal/>
    </border>
    <border>
      <left style="thin">
        <color rgb="FF000000"/>
      </left>
      <right/>
      <top style="dotted">
        <color rgb="FF000000"/>
      </top>
      <bottom/>
      <diagonal/>
    </border>
    <border>
      <left/>
      <right style="thin">
        <color rgb="FF000000"/>
      </right>
      <top style="dotted">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hair">
        <color rgb="FF000000"/>
      </bottom>
      <diagonal/>
    </border>
    <border>
      <left/>
      <right/>
      <top/>
      <bottom style="hair">
        <color rgb="FF000000"/>
      </bottom>
      <diagonal/>
    </border>
    <border>
      <left/>
      <right/>
      <top/>
      <bottom style="hair">
        <color rgb="FF000000"/>
      </bottom>
      <diagonal/>
    </border>
    <border>
      <left/>
      <right/>
      <top/>
      <bottom style="thin">
        <color rgb="FF000000"/>
      </bottom>
      <diagonal/>
    </border>
    <border>
      <left/>
      <right/>
      <top style="hair">
        <color rgb="FF000000"/>
      </top>
      <bottom style="thin">
        <color rgb="FF000000"/>
      </bottom>
      <diagonal/>
    </border>
    <border>
      <left/>
      <right/>
      <top style="thin">
        <color rgb="FF000000"/>
      </top>
      <bottom style="thin">
        <color rgb="FF000000"/>
      </bottom>
      <diagonal/>
    </border>
    <border>
      <left/>
      <right style="thin">
        <color rgb="FF000000"/>
      </right>
      <top/>
      <bottom style="hair">
        <color rgb="FF000000"/>
      </bottom>
      <diagonal/>
    </border>
    <border>
      <left/>
      <right/>
      <top/>
      <bottom style="dotted">
        <color rgb="FF000000"/>
      </bottom>
      <diagonal/>
    </border>
    <border>
      <left/>
      <right/>
      <top/>
      <bottom style="dotted">
        <color rgb="FF000000"/>
      </bottom>
      <diagonal/>
    </border>
    <border>
      <left/>
      <right/>
      <top style="dotted">
        <color rgb="FF000000"/>
      </top>
      <bottom style="dotted">
        <color rgb="FF000000"/>
      </bottom>
      <diagonal/>
    </border>
    <border>
      <left/>
      <right/>
      <top style="dotted">
        <color rgb="FF000000"/>
      </top>
      <bottom style="dotted">
        <color rgb="FF000000"/>
      </bottom>
      <diagonal/>
    </border>
    <border>
      <left/>
      <right/>
      <top style="dotted">
        <color rgb="FF000000"/>
      </top>
      <bottom/>
      <diagonal/>
    </border>
    <border>
      <left/>
      <right/>
      <top style="dotted">
        <color rgb="FF000000"/>
      </top>
      <bottom/>
      <diagonal/>
    </border>
    <border>
      <left/>
      <right/>
      <top/>
      <bottom style="hair">
        <color rgb="FF000000"/>
      </bottom>
      <diagonal/>
    </border>
    <border>
      <left/>
      <right style="thin">
        <color rgb="FF000000"/>
      </right>
      <top/>
      <bottom style="hair">
        <color rgb="FF000000"/>
      </bottom>
      <diagonal/>
    </border>
    <border>
      <left style="thin">
        <color rgb="FF000000"/>
      </left>
      <right/>
      <top/>
      <bottom style="dotted">
        <color rgb="FF000000"/>
      </bottom>
      <diagonal/>
    </border>
    <border>
      <left/>
      <right/>
      <top/>
      <bottom style="dotted">
        <color rgb="FF000000"/>
      </bottom>
      <diagonal/>
    </border>
    <border>
      <left/>
      <right/>
      <top/>
      <bottom style="dotted">
        <color rgb="FF000000"/>
      </bottom>
      <diagonal/>
    </border>
    <border>
      <left/>
      <right/>
      <top/>
      <bottom/>
      <diagonal/>
    </border>
    <border>
      <left/>
      <right/>
      <top style="hair">
        <color rgb="FF000000"/>
      </top>
      <bottom/>
      <diagonal/>
    </border>
    <border>
      <left style="thin">
        <color rgb="FFFFFFFF"/>
      </left>
      <right style="thin">
        <color rgb="FFFFFFFF"/>
      </right>
      <top style="thin">
        <color rgb="FFFFFFFF"/>
      </top>
      <bottom style="thin">
        <color rgb="FFFFFFFF"/>
      </bottom>
      <diagonal/>
    </border>
    <border>
      <left/>
      <right/>
      <top style="hair">
        <color rgb="FF000000"/>
      </top>
      <bottom/>
      <diagonal/>
    </border>
    <border>
      <left/>
      <right/>
      <top style="hair">
        <color rgb="FF000000"/>
      </top>
      <bottom style="hair">
        <color rgb="FF000000"/>
      </bottom>
      <diagonal/>
    </border>
    <border>
      <left/>
      <right/>
      <top style="hair">
        <color rgb="FF000000"/>
      </top>
      <bottom style="hair">
        <color rgb="FF000000"/>
      </bottom>
      <diagonal/>
    </border>
    <border>
      <left/>
      <right/>
      <top/>
      <bottom style="thin">
        <color rgb="FFFFFFFF"/>
      </bottom>
      <diagonal/>
    </border>
    <border>
      <left style="medium">
        <color theme="9"/>
      </left>
      <right style="medium">
        <color theme="9"/>
      </right>
      <top style="medium">
        <color theme="9"/>
      </top>
      <bottom style="medium">
        <color theme="9"/>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rgb="FF000000"/>
      </left>
      <right/>
      <top/>
      <bottom style="hair">
        <color rgb="FF000000"/>
      </bottom>
      <diagonal/>
    </border>
    <border>
      <left style="thin">
        <color rgb="FF000000"/>
      </left>
      <right/>
      <top style="hair">
        <color rgb="FF000000"/>
      </top>
      <bottom/>
      <diagonal/>
    </border>
    <border>
      <left/>
      <right style="thin">
        <color rgb="FF000000"/>
      </right>
      <top style="hair">
        <color rgb="FF000000"/>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s>
  <cellStyleXfs count="1">
    <xf numFmtId="0" fontId="0" fillId="0" borderId="0"/>
  </cellStyleXfs>
  <cellXfs count="384">
    <xf numFmtId="0" fontId="0" fillId="0" borderId="0" xfId="0"/>
    <xf numFmtId="0" fontId="7" fillId="0" borderId="0" xfId="0" applyFont="1"/>
    <xf numFmtId="0" fontId="8" fillId="0" borderId="0" xfId="0" applyFont="1"/>
    <xf numFmtId="0" fontId="2" fillId="3" borderId="7" xfId="0" applyFont="1" applyFill="1" applyBorder="1"/>
    <xf numFmtId="0" fontId="4" fillId="3" borderId="7" xfId="0" applyFont="1" applyFill="1" applyBorder="1" applyAlignment="1">
      <alignment horizontal="left"/>
    </xf>
    <xf numFmtId="0" fontId="4" fillId="3" borderId="7" xfId="0" applyFont="1" applyFill="1" applyBorder="1"/>
    <xf numFmtId="0" fontId="4" fillId="3" borderId="7" xfId="0" applyFont="1" applyFill="1" applyBorder="1" applyAlignment="1">
      <alignment horizontal="left" vertical="center" wrapText="1"/>
    </xf>
    <xf numFmtId="0" fontId="9" fillId="0" borderId="0" xfId="0" applyFont="1"/>
    <xf numFmtId="0" fontId="4" fillId="0" borderId="0" xfId="0" applyFont="1" applyAlignment="1">
      <alignment vertical="top" wrapText="1"/>
    </xf>
    <xf numFmtId="0" fontId="2" fillId="0" borderId="0" xfId="0" applyFont="1"/>
    <xf numFmtId="0" fontId="13" fillId="5" borderId="13" xfId="0" applyFont="1" applyFill="1" applyBorder="1" applyAlignment="1">
      <alignment horizontal="center" vertical="center" wrapText="1"/>
    </xf>
    <xf numFmtId="0" fontId="14" fillId="5" borderId="13" xfId="0" applyFont="1" applyFill="1" applyBorder="1" applyAlignment="1">
      <alignment vertical="center"/>
    </xf>
    <xf numFmtId="0" fontId="8" fillId="3" borderId="3" xfId="0" applyFont="1" applyFill="1" applyBorder="1" applyAlignment="1">
      <alignment vertical="top" wrapText="1"/>
    </xf>
    <xf numFmtId="0" fontId="4" fillId="0" borderId="0" xfId="0" applyFont="1"/>
    <xf numFmtId="0" fontId="15" fillId="5" borderId="13" xfId="0" applyFont="1" applyFill="1" applyBorder="1" applyAlignment="1">
      <alignment horizontal="right" vertical="center" wrapText="1"/>
    </xf>
    <xf numFmtId="9" fontId="15" fillId="5" borderId="13" xfId="0" applyNumberFormat="1" applyFont="1" applyFill="1" applyBorder="1" applyAlignment="1">
      <alignment horizontal="left" vertical="center" wrapText="1"/>
    </xf>
    <xf numFmtId="0" fontId="4" fillId="3" borderId="7" xfId="0" applyFont="1" applyFill="1" applyBorder="1" applyAlignment="1">
      <alignment vertical="top" wrapText="1"/>
    </xf>
    <xf numFmtId="0" fontId="15" fillId="5" borderId="13" xfId="0" applyFont="1" applyFill="1" applyBorder="1" applyAlignment="1">
      <alignment horizontal="right"/>
    </xf>
    <xf numFmtId="9" fontId="15" fillId="5" borderId="13" xfId="0" applyNumberFormat="1" applyFont="1" applyFill="1" applyBorder="1" applyAlignment="1">
      <alignment horizontal="left"/>
    </xf>
    <xf numFmtId="0" fontId="4" fillId="3" borderId="19" xfId="0" applyFont="1" applyFill="1" applyBorder="1"/>
    <xf numFmtId="0" fontId="2" fillId="3" borderId="7" xfId="0" applyFont="1" applyFill="1" applyBorder="1" applyAlignment="1">
      <alignment horizontal="right" vertical="center"/>
    </xf>
    <xf numFmtId="165" fontId="4" fillId="3" borderId="7" xfId="0" applyNumberFormat="1" applyFont="1" applyFill="1" applyBorder="1" applyAlignment="1">
      <alignment horizontal="left"/>
    </xf>
    <xf numFmtId="0" fontId="2" fillId="3" borderId="7" xfId="0" applyFont="1" applyFill="1" applyBorder="1" applyAlignment="1">
      <alignment vertical="center" wrapText="1"/>
    </xf>
    <xf numFmtId="0" fontId="7" fillId="4" borderId="7" xfId="0" applyFont="1" applyFill="1" applyBorder="1" applyAlignment="1">
      <alignment vertical="center"/>
    </xf>
    <xf numFmtId="0" fontId="7" fillId="3" borderId="7" xfId="0" applyFont="1" applyFill="1" applyBorder="1" applyAlignment="1">
      <alignment vertical="top"/>
    </xf>
    <xf numFmtId="6" fontId="7" fillId="0" borderId="0" xfId="0" applyNumberFormat="1" applyFont="1" applyAlignment="1">
      <alignment horizontal="left" vertical="top"/>
    </xf>
    <xf numFmtId="0" fontId="2" fillId="0" borderId="0" xfId="0" applyFont="1" applyAlignment="1">
      <alignment vertical="top" wrapText="1"/>
    </xf>
    <xf numFmtId="9" fontId="2" fillId="0" borderId="0" xfId="0" applyNumberFormat="1" applyFont="1" applyAlignment="1">
      <alignment horizontal="left" vertical="top" wrapText="1"/>
    </xf>
    <xf numFmtId="0" fontId="2" fillId="4" borderId="7" xfId="0" applyFont="1" applyFill="1" applyBorder="1" applyAlignment="1">
      <alignment vertical="center"/>
    </xf>
    <xf numFmtId="0" fontId="7" fillId="4" borderId="23" xfId="0" applyFont="1" applyFill="1" applyBorder="1" applyAlignment="1">
      <alignment horizontal="right" vertical="center" wrapText="1"/>
    </xf>
    <xf numFmtId="6" fontId="6" fillId="0" borderId="0" xfId="0" applyNumberFormat="1" applyFont="1" applyAlignment="1">
      <alignment horizontal="left" vertical="top"/>
    </xf>
    <xf numFmtId="0" fontId="7" fillId="4" borderId="25" xfId="0" applyFont="1" applyFill="1" applyBorder="1" applyAlignment="1">
      <alignment horizontal="right" vertical="center" wrapText="1"/>
    </xf>
    <xf numFmtId="0" fontId="7" fillId="4" borderId="27" xfId="0" applyFont="1" applyFill="1" applyBorder="1" applyAlignment="1">
      <alignment horizontal="right" vertical="center" wrapText="1"/>
    </xf>
    <xf numFmtId="0" fontId="7" fillId="4" borderId="5" xfId="0" applyFont="1" applyFill="1" applyBorder="1" applyAlignment="1">
      <alignment vertical="center"/>
    </xf>
    <xf numFmtId="9" fontId="17" fillId="4" borderId="5" xfId="0" applyNumberFormat="1" applyFont="1" applyFill="1" applyBorder="1" applyAlignment="1">
      <alignment horizontal="center" vertical="center" wrapText="1"/>
    </xf>
    <xf numFmtId="0" fontId="7" fillId="3" borderId="31" xfId="0" applyFont="1" applyFill="1" applyBorder="1" applyAlignment="1">
      <alignment vertical="center"/>
    </xf>
    <xf numFmtId="165" fontId="4" fillId="3" borderId="31" xfId="0" applyNumberFormat="1" applyFont="1" applyFill="1" applyBorder="1" applyAlignment="1">
      <alignment vertical="center"/>
    </xf>
    <xf numFmtId="0" fontId="6" fillId="0" borderId="0" xfId="0" applyFont="1" applyAlignment="1">
      <alignment horizontal="left" vertical="top"/>
    </xf>
    <xf numFmtId="9" fontId="4" fillId="0" borderId="0" xfId="0" applyNumberFormat="1" applyFont="1" applyAlignment="1">
      <alignment horizontal="left" vertical="top" wrapText="1"/>
    </xf>
    <xf numFmtId="0" fontId="7" fillId="3" borderId="8" xfId="0" applyFont="1" applyFill="1" applyBorder="1" applyAlignment="1">
      <alignment vertical="center"/>
    </xf>
    <xf numFmtId="165" fontId="4" fillId="3" borderId="8" xfId="0" applyNumberFormat="1" applyFont="1" applyFill="1" applyBorder="1" applyAlignment="1">
      <alignment vertical="center"/>
    </xf>
    <xf numFmtId="0" fontId="7" fillId="3" borderId="36" xfId="0" applyFont="1" applyFill="1" applyBorder="1" applyAlignment="1">
      <alignment vertical="center"/>
    </xf>
    <xf numFmtId="165" fontId="4" fillId="3" borderId="36" xfId="0" applyNumberFormat="1" applyFont="1" applyFill="1" applyBorder="1" applyAlignment="1">
      <alignment vertical="center"/>
    </xf>
    <xf numFmtId="0" fontId="7" fillId="4" borderId="39" xfId="0" applyFont="1" applyFill="1" applyBorder="1" applyAlignment="1">
      <alignment vertical="center"/>
    </xf>
    <xf numFmtId="6" fontId="4" fillId="4" borderId="39" xfId="0" applyNumberFormat="1" applyFont="1" applyFill="1" applyBorder="1" applyAlignment="1">
      <alignment vertical="center" wrapText="1"/>
    </xf>
    <xf numFmtId="0" fontId="4" fillId="4" borderId="39" xfId="0" applyFont="1" applyFill="1" applyBorder="1" applyAlignment="1">
      <alignment vertical="center"/>
    </xf>
    <xf numFmtId="0" fontId="4" fillId="0" borderId="0" xfId="0" applyFont="1" applyAlignment="1">
      <alignment vertical="top"/>
    </xf>
    <xf numFmtId="0" fontId="4" fillId="0" borderId="0" xfId="0" applyFont="1" applyAlignment="1">
      <alignment horizontal="left" vertical="top" wrapText="1"/>
    </xf>
    <xf numFmtId="0" fontId="5" fillId="3" borderId="10"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7" xfId="0" applyFont="1" applyFill="1" applyBorder="1" applyAlignment="1">
      <alignment horizontal="center" vertical="center"/>
    </xf>
    <xf numFmtId="0" fontId="19" fillId="3" borderId="51" xfId="0" applyFont="1" applyFill="1" applyBorder="1" applyAlignment="1">
      <alignment horizontal="left" vertical="center" readingOrder="1"/>
    </xf>
    <xf numFmtId="0" fontId="4" fillId="3" borderId="52" xfId="0" applyFont="1" applyFill="1" applyBorder="1" applyAlignment="1">
      <alignment vertical="center" wrapText="1"/>
    </xf>
    <xf numFmtId="0" fontId="8" fillId="3" borderId="28" xfId="0" applyFont="1" applyFill="1" applyBorder="1" applyAlignment="1">
      <alignment vertical="center"/>
    </xf>
    <xf numFmtId="0" fontId="2" fillId="6" borderId="53" xfId="0" applyFont="1" applyFill="1" applyBorder="1" applyAlignment="1">
      <alignment vertical="center"/>
    </xf>
    <xf numFmtId="0" fontId="2" fillId="6" borderId="53" xfId="0" applyFont="1" applyFill="1" applyBorder="1" applyAlignment="1">
      <alignment vertical="center" wrapText="1"/>
    </xf>
    <xf numFmtId="0" fontId="21" fillId="6" borderId="53" xfId="0" applyFont="1" applyFill="1" applyBorder="1" applyAlignment="1">
      <alignment vertical="center"/>
    </xf>
    <xf numFmtId="0" fontId="21" fillId="6" borderId="53" xfId="0" applyFont="1" applyFill="1" applyBorder="1" applyAlignment="1">
      <alignment horizontal="left" vertical="top" wrapText="1"/>
    </xf>
    <xf numFmtId="0" fontId="19" fillId="3" borderId="10" xfId="0" applyFont="1" applyFill="1" applyBorder="1" applyAlignment="1">
      <alignment horizontal="left" vertical="center" readingOrder="1"/>
    </xf>
    <xf numFmtId="0" fontId="12" fillId="3" borderId="10" xfId="0" applyFont="1" applyFill="1" applyBorder="1" applyAlignment="1">
      <alignment horizontal="left" vertical="center" wrapText="1" readingOrder="1"/>
    </xf>
    <xf numFmtId="0" fontId="18" fillId="3" borderId="54" xfId="0" applyFont="1" applyFill="1" applyBorder="1" applyAlignment="1">
      <alignment horizontal="left" vertical="center" readingOrder="1"/>
    </xf>
    <xf numFmtId="0" fontId="19" fillId="3" borderId="12" xfId="0" applyFont="1" applyFill="1" applyBorder="1" applyAlignment="1">
      <alignment horizontal="left" vertical="center" readingOrder="1"/>
    </xf>
    <xf numFmtId="0" fontId="4" fillId="3" borderId="12" xfId="0" applyFont="1" applyFill="1" applyBorder="1" applyAlignment="1">
      <alignment horizontal="left" vertical="center" wrapText="1"/>
    </xf>
    <xf numFmtId="0" fontId="19" fillId="3" borderId="52" xfId="0" applyFont="1" applyFill="1" applyBorder="1" applyAlignment="1">
      <alignment horizontal="left" vertical="center" readingOrder="1"/>
    </xf>
    <xf numFmtId="0" fontId="4" fillId="3" borderId="52" xfId="0" applyFont="1" applyFill="1" applyBorder="1" applyAlignment="1">
      <alignment horizontal="left" vertical="center" wrapText="1"/>
    </xf>
    <xf numFmtId="0" fontId="2" fillId="7" borderId="53" xfId="0" applyFont="1" applyFill="1" applyBorder="1" applyAlignment="1">
      <alignment vertical="center"/>
    </xf>
    <xf numFmtId="0" fontId="2" fillId="7" borderId="53" xfId="0" applyFont="1" applyFill="1" applyBorder="1" applyAlignment="1">
      <alignment wrapText="1"/>
    </xf>
    <xf numFmtId="0" fontId="21" fillId="7" borderId="53" xfId="0" applyFont="1" applyFill="1" applyBorder="1" applyAlignment="1">
      <alignment vertical="center"/>
    </xf>
    <xf numFmtId="0" fontId="2" fillId="7" borderId="53" xfId="0" applyFont="1" applyFill="1" applyBorder="1"/>
    <xf numFmtId="0" fontId="21" fillId="7" borderId="53" xfId="0" applyFont="1" applyFill="1" applyBorder="1" applyAlignment="1">
      <alignment horizontal="left" vertical="top" wrapText="1"/>
    </xf>
    <xf numFmtId="0" fontId="4" fillId="3" borderId="61" xfId="0" applyFont="1" applyFill="1" applyBorder="1" applyAlignment="1">
      <alignment horizontal="left" vertical="center" wrapText="1"/>
    </xf>
    <xf numFmtId="0" fontId="18" fillId="3" borderId="62" xfId="0" applyFont="1" applyFill="1" applyBorder="1" applyAlignment="1">
      <alignment horizontal="left" vertical="center" wrapText="1" readingOrder="1"/>
    </xf>
    <xf numFmtId="0" fontId="4" fillId="3" borderId="12" xfId="0" applyFont="1" applyFill="1" applyBorder="1" applyAlignment="1">
      <alignment vertical="center" wrapText="1"/>
    </xf>
    <xf numFmtId="0" fontId="8" fillId="3" borderId="26" xfId="0" applyFont="1" applyFill="1" applyBorder="1" applyAlignment="1">
      <alignment vertical="center"/>
    </xf>
    <xf numFmtId="0" fontId="2" fillId="8" borderId="53" xfId="0" applyFont="1" applyFill="1" applyBorder="1" applyAlignment="1">
      <alignment vertical="center"/>
    </xf>
    <xf numFmtId="0" fontId="2" fillId="8" borderId="53" xfId="0" applyFont="1" applyFill="1" applyBorder="1" applyAlignment="1">
      <alignment vertical="center" wrapText="1"/>
    </xf>
    <xf numFmtId="0" fontId="21" fillId="8" borderId="53" xfId="0" applyFont="1" applyFill="1" applyBorder="1" applyAlignment="1">
      <alignment vertical="center"/>
    </xf>
    <xf numFmtId="0" fontId="21" fillId="8" borderId="53" xfId="0" applyFont="1" applyFill="1" applyBorder="1" applyAlignment="1">
      <alignment horizontal="left" vertical="top" wrapText="1"/>
    </xf>
    <xf numFmtId="0" fontId="8" fillId="3" borderId="26" xfId="0" applyFont="1" applyFill="1" applyBorder="1" applyAlignment="1">
      <alignment vertical="center" wrapText="1"/>
    </xf>
    <xf numFmtId="0" fontId="8" fillId="4" borderId="7" xfId="0" quotePrefix="1" applyFont="1" applyFill="1" applyBorder="1" applyAlignment="1">
      <alignment horizontal="right"/>
    </xf>
    <xf numFmtId="0" fontId="8" fillId="4" borderId="68" xfId="0" applyFont="1" applyFill="1" applyBorder="1"/>
    <xf numFmtId="0" fontId="21" fillId="4" borderId="68" xfId="0" applyFont="1" applyFill="1" applyBorder="1"/>
    <xf numFmtId="0" fontId="8" fillId="4" borderId="68" xfId="0" applyFont="1" applyFill="1" applyBorder="1" applyAlignment="1">
      <alignment wrapText="1"/>
    </xf>
    <xf numFmtId="0" fontId="8" fillId="4" borderId="68" xfId="0" applyFont="1" applyFill="1" applyBorder="1" applyAlignment="1">
      <alignment horizontal="right"/>
    </xf>
    <xf numFmtId="0" fontId="2" fillId="3" borderId="7" xfId="0" applyFont="1" applyFill="1" applyBorder="1" applyAlignment="1">
      <alignment horizontal="center"/>
    </xf>
    <xf numFmtId="0" fontId="7" fillId="9" borderId="7" xfId="0" applyFont="1" applyFill="1" applyBorder="1"/>
    <xf numFmtId="167" fontId="7" fillId="9" borderId="7" xfId="0" applyNumberFormat="1" applyFont="1" applyFill="1" applyBorder="1"/>
    <xf numFmtId="169" fontId="6" fillId="3" borderId="7" xfId="0" applyNumberFormat="1" applyFont="1" applyFill="1" applyBorder="1" applyAlignment="1">
      <alignment horizontal="left"/>
    </xf>
    <xf numFmtId="167" fontId="4" fillId="3" borderId="7" xfId="0" applyNumberFormat="1" applyFont="1" applyFill="1" applyBorder="1" applyAlignment="1">
      <alignment horizontal="left"/>
    </xf>
    <xf numFmtId="0" fontId="9" fillId="3" borderId="7" xfId="0" applyFont="1" applyFill="1" applyBorder="1" applyAlignment="1">
      <alignment horizontal="left"/>
    </xf>
    <xf numFmtId="0" fontId="4" fillId="0" borderId="0" xfId="0" applyFont="1" applyAlignment="1">
      <alignment horizontal="left"/>
    </xf>
    <xf numFmtId="0" fontId="6" fillId="0" borderId="0" xfId="0" applyFont="1"/>
    <xf numFmtId="173" fontId="6" fillId="4" borderId="7" xfId="0" applyNumberFormat="1" applyFont="1" applyFill="1" applyBorder="1" applyAlignment="1">
      <alignment horizontal="center"/>
    </xf>
    <xf numFmtId="167" fontId="4" fillId="4" borderId="7" xfId="0" applyNumberFormat="1" applyFont="1" applyFill="1" applyBorder="1" applyAlignment="1">
      <alignment horizontal="left"/>
    </xf>
    <xf numFmtId="0" fontId="6" fillId="9" borderId="7" xfId="0" applyFont="1" applyFill="1" applyBorder="1"/>
    <xf numFmtId="0" fontId="4" fillId="3" borderId="66" xfId="0" applyFont="1" applyFill="1" applyBorder="1" applyAlignment="1">
      <alignment horizontal="left"/>
    </xf>
    <xf numFmtId="165" fontId="6" fillId="3" borderId="66" xfId="0" applyNumberFormat="1" applyFont="1" applyFill="1" applyBorder="1" applyAlignment="1">
      <alignment horizontal="center"/>
    </xf>
    <xf numFmtId="167" fontId="4" fillId="3" borderId="66" xfId="0" applyNumberFormat="1" applyFont="1" applyFill="1" applyBorder="1" applyAlignment="1">
      <alignment horizontal="left"/>
    </xf>
    <xf numFmtId="168" fontId="10" fillId="3" borderId="69" xfId="0" applyNumberFormat="1" applyFont="1" applyFill="1" applyBorder="1" applyAlignment="1">
      <alignment horizontal="left"/>
    </xf>
    <xf numFmtId="0" fontId="2" fillId="10" borderId="7" xfId="0" applyFont="1" applyFill="1" applyBorder="1"/>
    <xf numFmtId="0" fontId="7" fillId="10" borderId="7" xfId="0" applyFont="1" applyFill="1" applyBorder="1"/>
    <xf numFmtId="167" fontId="2" fillId="10" borderId="7" xfId="0" applyNumberFormat="1" applyFont="1" applyFill="1" applyBorder="1"/>
    <xf numFmtId="0" fontId="22" fillId="10" borderId="7" xfId="0" applyFont="1" applyFill="1" applyBorder="1"/>
    <xf numFmtId="0" fontId="3" fillId="0" borderId="4" xfId="0" applyFont="1" applyBorder="1"/>
    <xf numFmtId="0" fontId="6" fillId="9" borderId="7" xfId="0" applyFont="1" applyFill="1" applyBorder="1" applyAlignment="1">
      <alignment horizontal="center"/>
    </xf>
    <xf numFmtId="174" fontId="7" fillId="10" borderId="7" xfId="0" applyNumberFormat="1" applyFont="1" applyFill="1" applyBorder="1" applyAlignment="1">
      <alignment horizontal="center"/>
    </xf>
    <xf numFmtId="9" fontId="6" fillId="2" borderId="24" xfId="0" applyNumberFormat="1" applyFont="1" applyFill="1" applyBorder="1" applyAlignment="1" applyProtection="1">
      <alignment horizontal="center" vertical="center"/>
      <protection locked="0"/>
    </xf>
    <xf numFmtId="9" fontId="6" fillId="2" borderId="26" xfId="0" applyNumberFormat="1" applyFont="1" applyFill="1" applyBorder="1" applyAlignment="1" applyProtection="1">
      <alignment horizontal="center" vertical="center"/>
      <protection locked="0"/>
    </xf>
    <xf numFmtId="172" fontId="6" fillId="2" borderId="7" xfId="0" applyNumberFormat="1" applyFont="1" applyFill="1" applyBorder="1" applyAlignment="1" applyProtection="1">
      <alignment horizontal="center"/>
      <protection locked="0"/>
    </xf>
    <xf numFmtId="166" fontId="6" fillId="2" borderId="66" xfId="0" applyNumberFormat="1" applyFont="1" applyFill="1" applyBorder="1" applyAlignment="1" applyProtection="1">
      <alignment horizontal="center"/>
      <protection locked="0"/>
    </xf>
    <xf numFmtId="9" fontId="6" fillId="2" borderId="69" xfId="0" applyNumberFormat="1" applyFont="1" applyFill="1" applyBorder="1" applyAlignment="1" applyProtection="1">
      <alignment horizontal="center"/>
      <protection locked="0"/>
    </xf>
    <xf numFmtId="0" fontId="4" fillId="3" borderId="66" xfId="0" applyFont="1" applyFill="1" applyBorder="1" applyAlignment="1">
      <alignment horizontal="left" vertical="center" wrapText="1"/>
    </xf>
    <xf numFmtId="0" fontId="0" fillId="11" borderId="0" xfId="0" applyFill="1"/>
    <xf numFmtId="0" fontId="7" fillId="16" borderId="7" xfId="0" applyFont="1" applyFill="1" applyBorder="1"/>
    <xf numFmtId="0" fontId="4" fillId="0" borderId="7" xfId="0" applyFont="1" applyBorder="1" applyAlignment="1">
      <alignment vertical="center"/>
    </xf>
    <xf numFmtId="0" fontId="48" fillId="0" borderId="66" xfId="0" applyFont="1" applyBorder="1"/>
    <xf numFmtId="0" fontId="31" fillId="11" borderId="66" xfId="0" applyFont="1" applyFill="1" applyBorder="1"/>
    <xf numFmtId="0" fontId="31" fillId="11" borderId="66" xfId="0" applyFont="1" applyFill="1" applyBorder="1" applyAlignment="1">
      <alignment horizontal="center"/>
    </xf>
    <xf numFmtId="0" fontId="1" fillId="0" borderId="0" xfId="0" applyFont="1"/>
    <xf numFmtId="0" fontId="38" fillId="19" borderId="66" xfId="0" applyFont="1" applyFill="1" applyBorder="1"/>
    <xf numFmtId="0" fontId="40" fillId="18" borderId="0" xfId="0" applyFont="1" applyFill="1"/>
    <xf numFmtId="0" fontId="40" fillId="18" borderId="66" xfId="0" applyFont="1" applyFill="1" applyBorder="1" applyAlignment="1">
      <alignment horizontal="center"/>
    </xf>
    <xf numFmtId="0" fontId="40" fillId="0" borderId="0" xfId="0" applyFont="1"/>
    <xf numFmtId="0" fontId="32" fillId="11" borderId="74" xfId="0" applyFont="1" applyFill="1" applyBorder="1" applyAlignment="1">
      <alignment horizontal="left" vertical="top" indent="1"/>
    </xf>
    <xf numFmtId="9" fontId="47" fillId="11" borderId="80" xfId="0" applyNumberFormat="1" applyFont="1" applyFill="1" applyBorder="1" applyAlignment="1">
      <alignment horizontal="center" vertical="top" wrapText="1"/>
    </xf>
    <xf numFmtId="0" fontId="32" fillId="11" borderId="75" xfId="0" applyFont="1" applyFill="1" applyBorder="1" applyAlignment="1">
      <alignment horizontal="left" vertical="top" indent="1"/>
    </xf>
    <xf numFmtId="9" fontId="47" fillId="11" borderId="81" xfId="0" applyNumberFormat="1" applyFont="1" applyFill="1" applyBorder="1" applyAlignment="1">
      <alignment horizontal="center" vertical="top" wrapText="1"/>
    </xf>
    <xf numFmtId="6" fontId="6" fillId="11" borderId="76" xfId="0" applyNumberFormat="1" applyFont="1" applyFill="1" applyBorder="1" applyAlignment="1">
      <alignment horizontal="left" vertical="top"/>
    </xf>
    <xf numFmtId="9" fontId="47" fillId="11" borderId="82" xfId="0" applyNumberFormat="1" applyFont="1" applyFill="1" applyBorder="1" applyAlignment="1">
      <alignment horizontal="center" vertical="top" wrapText="1"/>
    </xf>
    <xf numFmtId="0" fontId="38" fillId="19" borderId="66" xfId="0" applyFont="1" applyFill="1" applyBorder="1" applyAlignment="1">
      <alignment wrapText="1"/>
    </xf>
    <xf numFmtId="6" fontId="6" fillId="11" borderId="75" xfId="0" applyNumberFormat="1" applyFont="1" applyFill="1" applyBorder="1" applyAlignment="1">
      <alignment horizontal="left" vertical="top"/>
    </xf>
    <xf numFmtId="0" fontId="0" fillId="0" borderId="66" xfId="0" applyBorder="1"/>
    <xf numFmtId="0" fontId="2" fillId="3" borderId="66" xfId="0" applyFont="1" applyFill="1" applyBorder="1"/>
    <xf numFmtId="0" fontId="37" fillId="3" borderId="66" xfId="0" applyFont="1" applyFill="1" applyBorder="1" applyAlignment="1">
      <alignment horizontal="left" indent="1"/>
    </xf>
    <xf numFmtId="0" fontId="37" fillId="3" borderId="66" xfId="0" applyFont="1" applyFill="1" applyBorder="1" applyAlignment="1">
      <alignment horizontal="left" indent="2"/>
    </xf>
    <xf numFmtId="0" fontId="36" fillId="12" borderId="66" xfId="0" applyFont="1" applyFill="1" applyBorder="1" applyAlignment="1">
      <alignment horizontal="left" vertical="top" wrapText="1" indent="1"/>
    </xf>
    <xf numFmtId="0" fontId="37" fillId="3" borderId="66" xfId="0" applyFont="1" applyFill="1" applyBorder="1" applyAlignment="1">
      <alignment horizontal="left" vertical="top" wrapText="1" indent="1"/>
    </xf>
    <xf numFmtId="0" fontId="36" fillId="3" borderId="66" xfId="0" applyFont="1" applyFill="1" applyBorder="1" applyAlignment="1">
      <alignment horizontal="left" vertical="top" wrapText="1" indent="1"/>
    </xf>
    <xf numFmtId="0" fontId="4" fillId="3" borderId="66" xfId="0" applyFont="1" applyFill="1" applyBorder="1"/>
    <xf numFmtId="0" fontId="11" fillId="11" borderId="66" xfId="0" applyFont="1" applyFill="1" applyBorder="1"/>
    <xf numFmtId="0" fontId="41" fillId="3" borderId="66" xfId="0" applyFont="1" applyFill="1" applyBorder="1" applyAlignment="1">
      <alignment horizontal="left" vertical="top" wrapText="1"/>
    </xf>
    <xf numFmtId="0" fontId="4" fillId="3" borderId="66" xfId="0" applyFont="1" applyFill="1" applyBorder="1" applyAlignment="1">
      <alignment horizontal="left" indent="1"/>
    </xf>
    <xf numFmtId="0" fontId="4" fillId="3" borderId="66" xfId="0" applyFont="1" applyFill="1" applyBorder="1" applyAlignment="1">
      <alignment horizontal="left" vertical="center" wrapText="1" indent="1"/>
    </xf>
    <xf numFmtId="0" fontId="38" fillId="17" borderId="7" xfId="0" applyFont="1" applyFill="1" applyBorder="1"/>
    <xf numFmtId="0" fontId="38" fillId="17" borderId="66" xfId="0" applyFont="1" applyFill="1" applyBorder="1"/>
    <xf numFmtId="0" fontId="33" fillId="2" borderId="2" xfId="0" applyFont="1" applyFill="1" applyBorder="1" applyAlignment="1" applyProtection="1">
      <alignment horizontal="center" vertical="center"/>
      <protection locked="0"/>
    </xf>
    <xf numFmtId="0" fontId="4" fillId="2" borderId="2" xfId="0" applyFont="1" applyFill="1" applyBorder="1" applyAlignment="1" applyProtection="1">
      <alignment horizontal="center"/>
      <protection locked="0"/>
    </xf>
    <xf numFmtId="0" fontId="20" fillId="20" borderId="2" xfId="0" applyFont="1" applyFill="1" applyBorder="1" applyAlignment="1" applyProtection="1">
      <alignment horizontal="center" vertical="center"/>
      <protection locked="0"/>
    </xf>
    <xf numFmtId="0" fontId="32" fillId="3" borderId="12" xfId="0" applyFont="1" applyFill="1" applyBorder="1" applyAlignment="1">
      <alignment horizontal="left" vertical="center" wrapText="1"/>
    </xf>
    <xf numFmtId="0" fontId="52" fillId="3" borderId="61" xfId="0" applyFont="1" applyFill="1" applyBorder="1" applyAlignment="1">
      <alignment horizontal="left" vertical="center" readingOrder="1"/>
    </xf>
    <xf numFmtId="0" fontId="53" fillId="3" borderId="26" xfId="0" applyFont="1" applyFill="1" applyBorder="1" applyAlignment="1">
      <alignment vertical="center"/>
    </xf>
    <xf numFmtId="0" fontId="32" fillId="3" borderId="52" xfId="0" applyFont="1" applyFill="1" applyBorder="1" applyAlignment="1">
      <alignment vertical="center" wrapText="1"/>
    </xf>
    <xf numFmtId="0" fontId="53" fillId="3" borderId="54" xfId="0" applyFont="1" applyFill="1" applyBorder="1" applyAlignment="1">
      <alignment vertical="center"/>
    </xf>
    <xf numFmtId="0" fontId="48" fillId="3" borderId="26" xfId="0" applyFont="1" applyFill="1" applyBorder="1" applyAlignment="1">
      <alignment horizontal="left" vertical="center" wrapText="1" readingOrder="1"/>
    </xf>
    <xf numFmtId="0" fontId="48" fillId="3" borderId="28" xfId="0" applyFont="1" applyFill="1" applyBorder="1" applyAlignment="1">
      <alignment horizontal="left" vertical="center" wrapText="1" readingOrder="1"/>
    </xf>
    <xf numFmtId="170" fontId="6" fillId="22" borderId="7" xfId="0" applyNumberFormat="1" applyFont="1" applyFill="1" applyBorder="1" applyAlignment="1">
      <alignment horizontal="center"/>
    </xf>
    <xf numFmtId="171" fontId="6" fillId="22" borderId="7" xfId="0" applyNumberFormat="1" applyFont="1" applyFill="1" applyBorder="1" applyAlignment="1">
      <alignment horizontal="center"/>
    </xf>
    <xf numFmtId="167" fontId="6" fillId="22" borderId="7" xfId="0" applyNumberFormat="1" applyFont="1" applyFill="1" applyBorder="1"/>
    <xf numFmtId="0" fontId="9" fillId="22" borderId="7" xfId="0" applyFont="1" applyFill="1" applyBorder="1"/>
    <xf numFmtId="167" fontId="6" fillId="22" borderId="7" xfId="0" applyNumberFormat="1" applyFont="1" applyFill="1" applyBorder="1" applyAlignment="1">
      <alignment horizontal="right"/>
    </xf>
    <xf numFmtId="172" fontId="6" fillId="22" borderId="74" xfId="0" applyNumberFormat="1" applyFont="1" applyFill="1" applyBorder="1" applyAlignment="1">
      <alignment horizontal="center"/>
    </xf>
    <xf numFmtId="173" fontId="6" fillId="22" borderId="74" xfId="0" applyNumberFormat="1" applyFont="1" applyFill="1" applyBorder="1" applyAlignment="1">
      <alignment horizontal="center"/>
    </xf>
    <xf numFmtId="167" fontId="6" fillId="22" borderId="74" xfId="0" applyNumberFormat="1" applyFont="1" applyFill="1" applyBorder="1"/>
    <xf numFmtId="167" fontId="6" fillId="22" borderId="74" xfId="0" applyNumberFormat="1" applyFont="1" applyFill="1" applyBorder="1" applyAlignment="1">
      <alignment horizontal="right"/>
    </xf>
    <xf numFmtId="0" fontId="9" fillId="22" borderId="74" xfId="0" applyFont="1" applyFill="1" applyBorder="1"/>
    <xf numFmtId="172" fontId="6" fillId="2" borderId="66" xfId="0" applyNumberFormat="1" applyFont="1" applyFill="1" applyBorder="1" applyAlignment="1" applyProtection="1">
      <alignment horizontal="center"/>
      <protection locked="0"/>
    </xf>
    <xf numFmtId="173" fontId="6" fillId="2" borderId="66" xfId="0" applyNumberFormat="1" applyFont="1" applyFill="1" applyBorder="1" applyAlignment="1" applyProtection="1">
      <alignment horizontal="center"/>
      <protection locked="0"/>
    </xf>
    <xf numFmtId="166" fontId="6" fillId="2" borderId="71" xfId="0" applyNumberFormat="1" applyFont="1" applyFill="1" applyBorder="1" applyAlignment="1" applyProtection="1">
      <alignment horizontal="center"/>
      <protection locked="0"/>
    </xf>
    <xf numFmtId="165" fontId="6" fillId="3" borderId="71" xfId="0" applyNumberFormat="1" applyFont="1" applyFill="1" applyBorder="1" applyAlignment="1">
      <alignment horizontal="center"/>
    </xf>
    <xf numFmtId="167" fontId="4" fillId="3" borderId="71" xfId="0" applyNumberFormat="1" applyFont="1" applyFill="1" applyBorder="1" applyAlignment="1">
      <alignment horizontal="left"/>
    </xf>
    <xf numFmtId="9" fontId="6" fillId="2" borderId="61" xfId="0" applyNumberFormat="1" applyFont="1" applyFill="1" applyBorder="1" applyAlignment="1" applyProtection="1">
      <alignment horizontal="center"/>
      <protection locked="0"/>
    </xf>
    <xf numFmtId="167" fontId="4" fillId="3" borderId="61" xfId="0" applyNumberFormat="1" applyFont="1" applyFill="1" applyBorder="1" applyAlignment="1">
      <alignment horizontal="left"/>
    </xf>
    <xf numFmtId="168" fontId="10" fillId="3" borderId="61" xfId="0" applyNumberFormat="1" applyFont="1" applyFill="1" applyBorder="1" applyAlignment="1">
      <alignment horizontal="left"/>
    </xf>
    <xf numFmtId="9" fontId="6" fillId="2" borderId="71" xfId="0" applyNumberFormat="1" applyFont="1" applyFill="1" applyBorder="1" applyAlignment="1" applyProtection="1">
      <alignment horizontal="center"/>
      <protection locked="0"/>
    </xf>
    <xf numFmtId="168" fontId="10" fillId="3" borderId="71" xfId="0" applyNumberFormat="1" applyFont="1" applyFill="1" applyBorder="1" applyAlignment="1">
      <alignment horizontal="left"/>
    </xf>
    <xf numFmtId="167" fontId="4" fillId="3" borderId="74" xfId="0" applyNumberFormat="1" applyFont="1" applyFill="1" applyBorder="1" applyAlignment="1">
      <alignment horizontal="left"/>
    </xf>
    <xf numFmtId="167" fontId="4" fillId="3" borderId="76" xfId="0" applyNumberFormat="1" applyFont="1" applyFill="1" applyBorder="1" applyAlignment="1">
      <alignment horizontal="left"/>
    </xf>
    <xf numFmtId="167" fontId="4" fillId="3" borderId="75" xfId="0" applyNumberFormat="1" applyFont="1" applyFill="1" applyBorder="1" applyAlignment="1">
      <alignment horizontal="left"/>
    </xf>
    <xf numFmtId="176" fontId="6" fillId="2" borderId="76" xfId="0" applyNumberFormat="1" applyFont="1" applyFill="1" applyBorder="1" applyAlignment="1" applyProtection="1">
      <alignment horizontal="center"/>
      <protection locked="0"/>
    </xf>
    <xf numFmtId="168" fontId="10" fillId="0" borderId="66" xfId="0" applyNumberFormat="1" applyFont="1" applyBorder="1" applyAlignment="1">
      <alignment horizontal="left"/>
    </xf>
    <xf numFmtId="0" fontId="9" fillId="3" borderId="66" xfId="0" applyFont="1" applyFill="1" applyBorder="1" applyAlignment="1">
      <alignment horizontal="left"/>
    </xf>
    <xf numFmtId="0" fontId="2" fillId="11" borderId="66" xfId="0" applyFont="1" applyFill="1" applyBorder="1" applyAlignment="1">
      <alignment horizontal="center"/>
    </xf>
    <xf numFmtId="0" fontId="4" fillId="11" borderId="76" xfId="0" applyFont="1" applyFill="1" applyBorder="1" applyAlignment="1">
      <alignment horizontal="left" vertical="top" indent="1"/>
    </xf>
    <xf numFmtId="9" fontId="5" fillId="11" borderId="82" xfId="0" applyNumberFormat="1" applyFont="1" applyFill="1" applyBorder="1" applyAlignment="1">
      <alignment horizontal="center" vertical="top" wrapText="1"/>
    </xf>
    <xf numFmtId="0" fontId="6" fillId="11" borderId="74" xfId="0" applyFont="1" applyFill="1" applyBorder="1" applyAlignment="1">
      <alignment horizontal="left" vertical="top"/>
    </xf>
    <xf numFmtId="9" fontId="51" fillId="11" borderId="80" xfId="0" applyNumberFormat="1" applyFont="1" applyFill="1" applyBorder="1" applyAlignment="1">
      <alignment horizontal="center" vertical="top" wrapText="1"/>
    </xf>
    <xf numFmtId="9" fontId="5" fillId="11" borderId="81" xfId="0" applyNumberFormat="1" applyFont="1" applyFill="1" applyBorder="1" applyAlignment="1">
      <alignment horizontal="center" vertical="top" wrapText="1"/>
    </xf>
    <xf numFmtId="164" fontId="2" fillId="23" borderId="0" xfId="0" applyNumberFormat="1" applyFont="1" applyFill="1" applyAlignment="1">
      <alignment horizontal="left" vertical="center" wrapText="1"/>
    </xf>
    <xf numFmtId="9" fontId="6" fillId="21" borderId="24" xfId="0" applyNumberFormat="1" applyFont="1" applyFill="1" applyBorder="1" applyAlignment="1">
      <alignment horizontal="center" vertical="center"/>
    </xf>
    <xf numFmtId="9" fontId="6" fillId="21" borderId="26" xfId="0" applyNumberFormat="1" applyFont="1" applyFill="1" applyBorder="1" applyAlignment="1">
      <alignment horizontal="center" vertical="center"/>
    </xf>
    <xf numFmtId="9" fontId="6" fillId="3" borderId="28" xfId="0" applyNumberFormat="1" applyFont="1" applyFill="1" applyBorder="1" applyAlignment="1">
      <alignment horizontal="center" vertical="center"/>
    </xf>
    <xf numFmtId="9" fontId="17" fillId="12" borderId="34" xfId="0" applyNumberFormat="1" applyFont="1" applyFill="1" applyBorder="1" applyAlignment="1">
      <alignment horizontal="center" vertical="center"/>
    </xf>
    <xf numFmtId="9" fontId="17" fillId="12" borderId="66" xfId="0" applyNumberFormat="1" applyFont="1" applyFill="1" applyBorder="1" applyAlignment="1">
      <alignment horizontal="center" vertical="center"/>
    </xf>
    <xf numFmtId="0" fontId="9" fillId="11" borderId="66" xfId="0" applyFont="1" applyFill="1" applyBorder="1" applyAlignment="1">
      <alignment vertical="center"/>
    </xf>
    <xf numFmtId="165" fontId="4" fillId="3" borderId="34" xfId="0" applyNumberFormat="1" applyFont="1" applyFill="1" applyBorder="1" applyAlignment="1">
      <alignment vertical="center"/>
    </xf>
    <xf numFmtId="165" fontId="4" fillId="3" borderId="66" xfId="0" applyNumberFormat="1" applyFont="1" applyFill="1" applyBorder="1" applyAlignment="1">
      <alignment vertical="center"/>
    </xf>
    <xf numFmtId="0" fontId="9" fillId="3" borderId="66" xfId="0" applyFont="1" applyFill="1" applyBorder="1" applyAlignment="1">
      <alignment vertical="center"/>
    </xf>
    <xf numFmtId="0" fontId="10" fillId="3" borderId="66" xfId="0" applyFont="1" applyFill="1" applyBorder="1" applyAlignment="1">
      <alignment vertical="center"/>
    </xf>
    <xf numFmtId="6" fontId="4" fillId="12" borderId="34" xfId="0" applyNumberFormat="1" applyFont="1" applyFill="1" applyBorder="1" applyAlignment="1">
      <alignment vertical="center" wrapText="1"/>
    </xf>
    <xf numFmtId="6" fontId="4" fillId="12" borderId="66" xfId="0" applyNumberFormat="1" applyFont="1" applyFill="1" applyBorder="1" applyAlignment="1">
      <alignment vertical="center" wrapText="1"/>
    </xf>
    <xf numFmtId="0" fontId="4" fillId="12" borderId="34" xfId="0" applyFont="1" applyFill="1" applyBorder="1" applyAlignment="1">
      <alignment vertical="center"/>
    </xf>
    <xf numFmtId="0" fontId="4" fillId="12" borderId="66" xfId="0" applyFont="1" applyFill="1" applyBorder="1" applyAlignment="1">
      <alignment vertical="center"/>
    </xf>
    <xf numFmtId="164" fontId="31" fillId="21" borderId="34" xfId="0" applyNumberFormat="1" applyFont="1" applyFill="1" applyBorder="1" applyAlignment="1">
      <alignment horizontal="left" vertical="center" wrapText="1"/>
    </xf>
    <xf numFmtId="164" fontId="2" fillId="21" borderId="66" xfId="0" applyNumberFormat="1" applyFont="1" applyFill="1" applyBorder="1" applyAlignment="1">
      <alignment horizontal="left" vertical="center" wrapText="1"/>
    </xf>
    <xf numFmtId="0" fontId="18" fillId="12" borderId="34" xfId="0" applyFont="1" applyFill="1" applyBorder="1" applyAlignment="1">
      <alignment vertical="top" wrapText="1"/>
    </xf>
    <xf numFmtId="0" fontId="18" fillId="12" borderId="66" xfId="0" applyFont="1" applyFill="1" applyBorder="1" applyAlignment="1">
      <alignment vertical="top" wrapText="1"/>
    </xf>
    <xf numFmtId="0" fontId="8" fillId="3" borderId="66" xfId="0" applyFont="1" applyFill="1" applyBorder="1"/>
    <xf numFmtId="177" fontId="6" fillId="9" borderId="7" xfId="0" applyNumberFormat="1" applyFont="1" applyFill="1" applyBorder="1" applyAlignment="1">
      <alignment horizontal="left"/>
    </xf>
    <xf numFmtId="0" fontId="6" fillId="3" borderId="61" xfId="0" applyFont="1" applyFill="1" applyBorder="1" applyAlignment="1">
      <alignment horizontal="left"/>
    </xf>
    <xf numFmtId="0" fontId="6" fillId="3" borderId="71" xfId="0" applyFont="1" applyFill="1" applyBorder="1" applyAlignment="1">
      <alignment horizontal="left"/>
    </xf>
    <xf numFmtId="0" fontId="6" fillId="3" borderId="69" xfId="0" applyFont="1" applyFill="1" applyBorder="1" applyAlignment="1">
      <alignment horizontal="left"/>
    </xf>
    <xf numFmtId="0" fontId="7" fillId="9" borderId="7" xfId="0" applyFont="1" applyFill="1" applyBorder="1" applyAlignment="1">
      <alignment horizontal="center"/>
    </xf>
    <xf numFmtId="0" fontId="22" fillId="9" borderId="7" xfId="0" applyFont="1" applyFill="1" applyBorder="1"/>
    <xf numFmtId="175" fontId="6" fillId="3" borderId="66" xfId="0" applyNumberFormat="1" applyFont="1" applyFill="1" applyBorder="1" applyAlignment="1">
      <alignment horizontal="center" vertical="center" wrapText="1"/>
    </xf>
    <xf numFmtId="0" fontId="9" fillId="3" borderId="66" xfId="0" applyFont="1" applyFill="1" applyBorder="1"/>
    <xf numFmtId="170" fontId="6" fillId="3" borderId="74" xfId="0" applyNumberFormat="1" applyFont="1" applyFill="1" applyBorder="1" applyAlignment="1">
      <alignment horizontal="center" vertical="center" wrapText="1"/>
    </xf>
    <xf numFmtId="165" fontId="6" fillId="3" borderId="74" xfId="0" applyNumberFormat="1" applyFont="1" applyFill="1" applyBorder="1" applyAlignment="1">
      <alignment horizontal="center"/>
    </xf>
    <xf numFmtId="0" fontId="10" fillId="3" borderId="74" xfId="0" applyFont="1" applyFill="1" applyBorder="1"/>
    <xf numFmtId="175" fontId="6" fillId="3" borderId="75" xfId="0" applyNumberFormat="1" applyFont="1" applyFill="1" applyBorder="1" applyAlignment="1">
      <alignment horizontal="center" vertical="center" wrapText="1"/>
    </xf>
    <xf numFmtId="165" fontId="6" fillId="3" borderId="75" xfId="0" applyNumberFormat="1" applyFont="1" applyFill="1" applyBorder="1" applyAlignment="1">
      <alignment horizontal="center"/>
    </xf>
    <xf numFmtId="0" fontId="10" fillId="3" borderId="75" xfId="0" applyFont="1" applyFill="1" applyBorder="1"/>
    <xf numFmtId="164" fontId="6" fillId="3" borderId="75" xfId="0" applyNumberFormat="1" applyFont="1" applyFill="1" applyBorder="1" applyAlignment="1">
      <alignment horizontal="center" vertical="center" wrapText="1"/>
    </xf>
    <xf numFmtId="173" fontId="6" fillId="12" borderId="76" xfId="0" applyNumberFormat="1" applyFont="1" applyFill="1" applyBorder="1" applyAlignment="1">
      <alignment horizontal="center"/>
    </xf>
    <xf numFmtId="167" fontId="4" fillId="12" borderId="76" xfId="0" applyNumberFormat="1" applyFont="1" applyFill="1" applyBorder="1" applyAlignment="1">
      <alignment horizontal="left"/>
    </xf>
    <xf numFmtId="0" fontId="9" fillId="11" borderId="76" xfId="0" applyFont="1" applyFill="1" applyBorder="1" applyAlignment="1">
      <alignment horizontal="left"/>
    </xf>
    <xf numFmtId="174" fontId="2" fillId="10" borderId="7" xfId="0" applyNumberFormat="1" applyFont="1" applyFill="1" applyBorder="1" applyAlignment="1">
      <alignment horizontal="center"/>
    </xf>
    <xf numFmtId="166" fontId="42" fillId="12" borderId="43" xfId="0" applyNumberFormat="1" applyFont="1" applyFill="1" applyBorder="1" applyAlignment="1">
      <alignment horizontal="left" vertical="center" wrapText="1"/>
    </xf>
    <xf numFmtId="0" fontId="49" fillId="12" borderId="9" xfId="0" applyFont="1" applyFill="1" applyBorder="1" applyAlignment="1">
      <alignment vertical="top" wrapText="1"/>
    </xf>
    <xf numFmtId="0" fontId="13" fillId="13" borderId="73" xfId="0" applyFont="1" applyFill="1" applyBorder="1" applyAlignment="1">
      <alignment horizontal="center" vertical="center" wrapText="1"/>
    </xf>
    <xf numFmtId="0" fontId="14" fillId="13" borderId="73" xfId="0" applyFont="1" applyFill="1" applyBorder="1" applyAlignment="1">
      <alignment vertical="center"/>
    </xf>
    <xf numFmtId="0" fontId="15" fillId="13" borderId="73" xfId="0" applyFont="1" applyFill="1" applyBorder="1" applyAlignment="1">
      <alignment horizontal="right" vertical="center" wrapText="1"/>
    </xf>
    <xf numFmtId="9" fontId="15" fillId="13" borderId="73" xfId="0" applyNumberFormat="1" applyFont="1" applyFill="1" applyBorder="1" applyAlignment="1">
      <alignment horizontal="left" vertical="center" wrapText="1"/>
    </xf>
    <xf numFmtId="0" fontId="15" fillId="13" borderId="73" xfId="0" applyFont="1" applyFill="1" applyBorder="1" applyAlignment="1">
      <alignment horizontal="right"/>
    </xf>
    <xf numFmtId="9" fontId="15" fillId="13" borderId="73" xfId="0" applyNumberFormat="1" applyFont="1" applyFill="1" applyBorder="1" applyAlignment="1">
      <alignment horizontal="left"/>
    </xf>
    <xf numFmtId="0" fontId="9" fillId="3" borderId="66" xfId="0" applyFont="1" applyFill="1" applyBorder="1" applyAlignment="1">
      <alignment horizontal="left" vertical="top" wrapText="1"/>
    </xf>
    <xf numFmtId="0" fontId="34" fillId="15" borderId="7" xfId="0" applyFont="1" applyFill="1" applyBorder="1" applyAlignment="1">
      <alignment horizontal="left"/>
    </xf>
    <xf numFmtId="0" fontId="34" fillId="15" borderId="66" xfId="0" applyFont="1" applyFill="1" applyBorder="1" applyAlignment="1">
      <alignment horizontal="left"/>
    </xf>
    <xf numFmtId="0" fontId="41" fillId="3" borderId="66" xfId="0" quotePrefix="1" applyFont="1" applyFill="1" applyBorder="1" applyAlignment="1">
      <alignment horizontal="left" vertical="top" wrapText="1"/>
    </xf>
    <xf numFmtId="0" fontId="4" fillId="3" borderId="66" xfId="0" applyFont="1" applyFill="1" applyBorder="1" applyAlignment="1">
      <alignment horizontal="center"/>
    </xf>
    <xf numFmtId="0" fontId="37" fillId="3" borderId="66" xfId="0" applyFont="1" applyFill="1" applyBorder="1" applyAlignment="1">
      <alignment horizontal="left" vertical="top" indent="1"/>
    </xf>
    <xf numFmtId="0" fontId="41" fillId="3" borderId="66" xfId="0" applyFont="1" applyFill="1" applyBorder="1" applyAlignment="1">
      <alignment horizontal="left" vertical="top" wrapText="1"/>
    </xf>
    <xf numFmtId="0" fontId="4" fillId="3" borderId="66" xfId="0" applyFont="1" applyFill="1" applyBorder="1" applyAlignment="1">
      <alignment horizontal="left" vertical="top" indent="1"/>
    </xf>
    <xf numFmtId="0" fontId="4" fillId="3" borderId="66" xfId="0" applyFont="1" applyFill="1" applyBorder="1" applyAlignment="1">
      <alignment horizontal="left" vertical="top" wrapText="1" indent="1"/>
    </xf>
    <xf numFmtId="0" fontId="9" fillId="11" borderId="66" xfId="0" applyFont="1" applyFill="1" applyBorder="1" applyAlignment="1">
      <alignment horizontal="left" vertical="top" wrapText="1"/>
    </xf>
    <xf numFmtId="0" fontId="44" fillId="11" borderId="66" xfId="0" applyFont="1" applyFill="1" applyBorder="1" applyAlignment="1">
      <alignment horizontal="left" vertical="top" wrapText="1"/>
    </xf>
    <xf numFmtId="0" fontId="37" fillId="4" borderId="66" xfId="0" applyFont="1" applyFill="1" applyBorder="1" applyAlignment="1">
      <alignment horizontal="left" indent="1"/>
    </xf>
    <xf numFmtId="0" fontId="37" fillId="3" borderId="66" xfId="0" applyFont="1" applyFill="1" applyBorder="1" applyAlignment="1">
      <alignment horizontal="left" indent="1"/>
    </xf>
    <xf numFmtId="0" fontId="9" fillId="11" borderId="66" xfId="0" applyFont="1" applyFill="1" applyBorder="1" applyAlignment="1">
      <alignment horizontal="left"/>
    </xf>
    <xf numFmtId="0" fontId="44" fillId="11" borderId="66" xfId="0" applyFont="1" applyFill="1" applyBorder="1" applyAlignment="1">
      <alignment horizontal="left"/>
    </xf>
    <xf numFmtId="0" fontId="50" fillId="11" borderId="66" xfId="0" applyFont="1" applyFill="1" applyBorder="1" applyAlignment="1">
      <alignment horizontal="left" vertical="top" wrapText="1"/>
    </xf>
    <xf numFmtId="0" fontId="6" fillId="12" borderId="69" xfId="0" applyFont="1" applyFill="1" applyBorder="1" applyAlignment="1">
      <alignment horizontal="left" vertical="top" wrapText="1"/>
    </xf>
    <xf numFmtId="0" fontId="0" fillId="0" borderId="69" xfId="0" applyBorder="1" applyAlignment="1">
      <alignment horizontal="left" vertical="top" wrapText="1"/>
    </xf>
    <xf numFmtId="0" fontId="0" fillId="0" borderId="79" xfId="0" applyBorder="1" applyAlignment="1">
      <alignment horizontal="left" vertical="top" wrapText="1"/>
    </xf>
    <xf numFmtId="0" fontId="34" fillId="14" borderId="0" xfId="0" applyFont="1" applyFill="1" applyAlignment="1">
      <alignment horizontal="left" vertical="center"/>
    </xf>
    <xf numFmtId="0" fontId="44" fillId="11" borderId="0" xfId="0" applyFont="1" applyFill="1" applyAlignment="1">
      <alignment vertical="top" wrapText="1"/>
    </xf>
    <xf numFmtId="0" fontId="45" fillId="11" borderId="0" xfId="0" applyFont="1" applyFill="1"/>
    <xf numFmtId="0" fontId="6" fillId="11" borderId="61" xfId="0" applyFont="1" applyFill="1" applyBorder="1" applyAlignment="1">
      <alignment horizontal="left" vertical="top" wrapText="1"/>
    </xf>
    <xf numFmtId="0" fontId="6" fillId="11" borderId="62" xfId="0" applyFont="1" applyFill="1" applyBorder="1" applyAlignment="1">
      <alignment horizontal="left" vertical="top" wrapText="1"/>
    </xf>
    <xf numFmtId="0" fontId="38" fillId="17" borderId="66" xfId="0" applyFont="1" applyFill="1" applyBorder="1" applyAlignment="1">
      <alignment horizontal="center"/>
    </xf>
    <xf numFmtId="0" fontId="31" fillId="11" borderId="66" xfId="0" applyFont="1" applyFill="1" applyBorder="1" applyAlignment="1">
      <alignment horizontal="center"/>
    </xf>
    <xf numFmtId="0" fontId="4" fillId="3" borderId="66" xfId="0" applyFont="1" applyFill="1" applyBorder="1" applyAlignment="1">
      <alignment horizontal="left" vertical="center" wrapText="1" indent="1"/>
    </xf>
    <xf numFmtId="0" fontId="7" fillId="11" borderId="71" xfId="0" applyFont="1" applyFill="1" applyBorder="1" applyAlignment="1">
      <alignment horizontal="left" vertical="top" wrapText="1"/>
    </xf>
    <xf numFmtId="0" fontId="0" fillId="0" borderId="71" xfId="0" applyBorder="1" applyAlignment="1">
      <alignment horizontal="left" vertical="top" wrapText="1"/>
    </xf>
    <xf numFmtId="0" fontId="0" fillId="0" borderId="26" xfId="0" applyBorder="1" applyAlignment="1">
      <alignment horizontal="left" vertical="top" wrapText="1"/>
    </xf>
    <xf numFmtId="0" fontId="7" fillId="11" borderId="75" xfId="0" applyFont="1" applyFill="1" applyBorder="1" applyAlignment="1">
      <alignment horizontal="left" vertical="top" wrapText="1"/>
    </xf>
    <xf numFmtId="0" fontId="3" fillId="11" borderId="75" xfId="0" applyFont="1" applyFill="1" applyBorder="1" applyAlignment="1">
      <alignment horizontal="left" vertical="top"/>
    </xf>
    <xf numFmtId="0" fontId="7" fillId="12" borderId="71" xfId="0" applyFont="1" applyFill="1" applyBorder="1" applyAlignment="1">
      <alignment horizontal="left" vertical="top" wrapText="1"/>
    </xf>
    <xf numFmtId="0" fontId="30" fillId="12" borderId="71" xfId="0" applyFont="1" applyFill="1" applyBorder="1" applyAlignment="1">
      <alignment horizontal="left" vertical="top" wrapText="1"/>
    </xf>
    <xf numFmtId="0" fontId="38" fillId="18" borderId="66" xfId="0" applyFont="1" applyFill="1" applyBorder="1" applyAlignment="1">
      <alignment horizontal="left"/>
    </xf>
    <xf numFmtId="0" fontId="6" fillId="11" borderId="74" xfId="0" applyFont="1" applyFill="1" applyBorder="1" applyAlignment="1">
      <alignment horizontal="left" vertical="top" wrapText="1"/>
    </xf>
    <xf numFmtId="0" fontId="3" fillId="11" borderId="74" xfId="0" applyFont="1" applyFill="1" applyBorder="1" applyAlignment="1">
      <alignment horizontal="left" vertical="top"/>
    </xf>
    <xf numFmtId="0" fontId="6" fillId="12" borderId="71" xfId="0" applyFont="1" applyFill="1" applyBorder="1" applyAlignment="1">
      <alignment horizontal="left" vertical="top" wrapText="1"/>
    </xf>
    <xf numFmtId="0" fontId="6" fillId="11" borderId="75" xfId="0" applyFont="1" applyFill="1" applyBorder="1" applyAlignment="1">
      <alignment horizontal="left" vertical="top" wrapText="1"/>
    </xf>
    <xf numFmtId="0" fontId="2" fillId="11" borderId="0" xfId="0" applyFont="1" applyFill="1" applyAlignment="1">
      <alignment horizontal="right" wrapText="1" indent="1"/>
    </xf>
    <xf numFmtId="0" fontId="0" fillId="11" borderId="0" xfId="0" applyFill="1" applyAlignment="1">
      <alignment horizontal="right" indent="1"/>
    </xf>
    <xf numFmtId="0" fontId="3" fillId="11" borderId="1" xfId="0" applyFont="1" applyFill="1" applyBorder="1" applyAlignment="1">
      <alignment horizontal="right" indent="1"/>
    </xf>
    <xf numFmtId="0" fontId="36" fillId="12" borderId="66" xfId="0" applyFont="1" applyFill="1" applyBorder="1" applyAlignment="1">
      <alignment horizontal="left" vertical="top" wrapText="1" indent="1"/>
    </xf>
    <xf numFmtId="0" fontId="37" fillId="3" borderId="66" xfId="0" applyFont="1" applyFill="1" applyBorder="1" applyAlignment="1">
      <alignment horizontal="left" vertical="top" wrapText="1" indent="1"/>
    </xf>
    <xf numFmtId="0" fontId="36" fillId="3" borderId="66" xfId="0" applyFont="1" applyFill="1" applyBorder="1" applyAlignment="1">
      <alignment horizontal="left" vertical="top" wrapText="1" indent="1"/>
    </xf>
    <xf numFmtId="0" fontId="38" fillId="19" borderId="66" xfId="0" applyFont="1" applyFill="1" applyBorder="1" applyAlignment="1">
      <alignment horizontal="left"/>
    </xf>
    <xf numFmtId="6" fontId="39" fillId="11" borderId="76" xfId="0" applyNumberFormat="1" applyFont="1" applyFill="1" applyBorder="1" applyAlignment="1">
      <alignment horizontal="left" vertical="top" wrapText="1"/>
    </xf>
    <xf numFmtId="0" fontId="43" fillId="0" borderId="76" xfId="0" applyFont="1" applyBorder="1" applyAlignment="1">
      <alignment horizontal="left" vertical="top" wrapText="1"/>
    </xf>
    <xf numFmtId="0" fontId="0" fillId="0" borderId="74" xfId="0" applyBorder="1" applyAlignment="1">
      <alignment horizontal="left" vertical="top" wrapText="1"/>
    </xf>
    <xf numFmtId="6" fontId="39" fillId="11" borderId="75" xfId="0" applyNumberFormat="1" applyFont="1" applyFill="1" applyBorder="1" applyAlignment="1">
      <alignment horizontal="left" vertical="top" wrapText="1"/>
    </xf>
    <xf numFmtId="0" fontId="43" fillId="0" borderId="75" xfId="0" applyFont="1" applyBorder="1" applyAlignment="1">
      <alignment horizontal="left" vertical="top" wrapText="1"/>
    </xf>
    <xf numFmtId="0" fontId="4" fillId="3" borderId="7" xfId="0" applyFont="1" applyFill="1" applyBorder="1" applyAlignment="1">
      <alignment horizontal="left"/>
    </xf>
    <xf numFmtId="0" fontId="4" fillId="3" borderId="71" xfId="0" applyFont="1" applyFill="1" applyBorder="1" applyAlignment="1">
      <alignment horizontal="left"/>
    </xf>
    <xf numFmtId="0" fontId="0" fillId="0" borderId="71" xfId="0" applyBorder="1" applyAlignment="1">
      <alignment horizontal="left"/>
    </xf>
    <xf numFmtId="0" fontId="4" fillId="3" borderId="69" xfId="0" applyFont="1" applyFill="1" applyBorder="1" applyAlignment="1">
      <alignment horizontal="left"/>
    </xf>
    <xf numFmtId="0" fontId="0" fillId="0" borderId="69" xfId="0" applyBorder="1" applyAlignment="1">
      <alignment horizontal="left"/>
    </xf>
    <xf numFmtId="0" fontId="4" fillId="2" borderId="70" xfId="0" applyFont="1" applyFill="1" applyBorder="1" applyAlignment="1" applyProtection="1">
      <alignment horizontal="left" vertical="top" wrapText="1"/>
      <protection locked="0"/>
    </xf>
    <xf numFmtId="0" fontId="3" fillId="0" borderId="11" xfId="0" applyFont="1" applyBorder="1" applyProtection="1">
      <protection locked="0"/>
    </xf>
    <xf numFmtId="0" fontId="3" fillId="0" borderId="71" xfId="0" applyFont="1" applyBorder="1" applyProtection="1">
      <protection locked="0"/>
    </xf>
    <xf numFmtId="0" fontId="8" fillId="2" borderId="37" xfId="0" applyFont="1" applyFill="1" applyBorder="1" applyAlignment="1" applyProtection="1">
      <alignment horizontal="left" vertical="top" wrapText="1"/>
      <protection locked="0"/>
    </xf>
    <xf numFmtId="0" fontId="3" fillId="0" borderId="55" xfId="0" applyFont="1" applyBorder="1" applyProtection="1">
      <protection locked="0"/>
    </xf>
    <xf numFmtId="0" fontId="3" fillId="0" borderId="56" xfId="0" applyFont="1" applyBorder="1" applyProtection="1">
      <protection locked="0"/>
    </xf>
    <xf numFmtId="0" fontId="8" fillId="2" borderId="40" xfId="0" applyFont="1" applyFill="1" applyBorder="1" applyAlignment="1" applyProtection="1">
      <alignment horizontal="left" vertical="top" wrapText="1"/>
      <protection locked="0"/>
    </xf>
    <xf numFmtId="0" fontId="3" fillId="0" borderId="57" xfId="0" applyFont="1" applyBorder="1" applyProtection="1">
      <protection locked="0"/>
    </xf>
    <xf numFmtId="0" fontId="3" fillId="0" borderId="58" xfId="0" applyFont="1" applyBorder="1" applyProtection="1">
      <protection locked="0"/>
    </xf>
    <xf numFmtId="0" fontId="16" fillId="14" borderId="7" xfId="0" applyFont="1" applyFill="1" applyBorder="1" applyAlignment="1">
      <alignment horizontal="left" vertical="center"/>
    </xf>
    <xf numFmtId="0" fontId="53" fillId="4" borderId="72" xfId="0" applyFont="1" applyFill="1" applyBorder="1" applyAlignment="1">
      <alignment horizontal="left"/>
    </xf>
    <xf numFmtId="0" fontId="8" fillId="4" borderId="72" xfId="0" applyFont="1" applyFill="1" applyBorder="1" applyAlignment="1">
      <alignment horizontal="left"/>
    </xf>
    <xf numFmtId="0" fontId="23" fillId="4" borderId="70" xfId="0" applyFont="1" applyFill="1" applyBorder="1" applyAlignment="1">
      <alignment vertical="top" wrapText="1"/>
    </xf>
    <xf numFmtId="0" fontId="3" fillId="0" borderId="71" xfId="0" applyFont="1" applyBorder="1"/>
    <xf numFmtId="0" fontId="19" fillId="3" borderId="67" xfId="0" applyFont="1" applyFill="1" applyBorder="1" applyAlignment="1">
      <alignment horizontal="left" vertical="center" readingOrder="1"/>
    </xf>
    <xf numFmtId="0" fontId="3" fillId="0" borderId="18" xfId="0" applyFont="1" applyBorder="1"/>
    <xf numFmtId="0" fontId="3" fillId="0" borderId="61" xfId="0" applyFont="1" applyBorder="1"/>
    <xf numFmtId="0" fontId="4" fillId="3" borderId="67" xfId="0" applyFont="1" applyFill="1" applyBorder="1" applyAlignment="1">
      <alignment horizontal="left" vertical="center" wrapText="1"/>
    </xf>
    <xf numFmtId="0" fontId="19" fillId="3" borderId="66" xfId="0" applyFont="1" applyFill="1" applyBorder="1" applyAlignment="1">
      <alignment horizontal="left" vertical="center" readingOrder="1"/>
    </xf>
    <xf numFmtId="0" fontId="4" fillId="3" borderId="66" xfId="0" applyFont="1" applyFill="1" applyBorder="1" applyAlignment="1">
      <alignment horizontal="left" vertical="center" wrapText="1"/>
    </xf>
    <xf numFmtId="0" fontId="4" fillId="3" borderId="66" xfId="0" applyFont="1" applyFill="1" applyBorder="1" applyAlignment="1">
      <alignment horizontal="left"/>
    </xf>
    <xf numFmtId="0" fontId="0" fillId="0" borderId="66" xfId="0" applyBorder="1" applyAlignment="1">
      <alignment horizontal="left"/>
    </xf>
    <xf numFmtId="0" fontId="4" fillId="3" borderId="61" xfId="0" applyFont="1" applyFill="1" applyBorder="1" applyAlignment="1">
      <alignment horizontal="left"/>
    </xf>
    <xf numFmtId="0" fontId="0" fillId="0" borderId="61" xfId="0" applyBorder="1" applyAlignment="1">
      <alignment horizontal="left"/>
    </xf>
    <xf numFmtId="0" fontId="12" fillId="3" borderId="70" xfId="0" applyFont="1" applyFill="1" applyBorder="1" applyAlignment="1">
      <alignment vertical="top" wrapText="1"/>
    </xf>
    <xf numFmtId="0" fontId="12" fillId="4" borderId="70" xfId="0" applyFont="1" applyFill="1" applyBorder="1" applyAlignment="1">
      <alignment vertical="top" wrapText="1"/>
    </xf>
    <xf numFmtId="0" fontId="6" fillId="22" borderId="7" xfId="0" applyFont="1" applyFill="1" applyBorder="1" applyAlignment="1">
      <alignment horizontal="right"/>
    </xf>
    <xf numFmtId="0" fontId="0" fillId="11" borderId="0" xfId="0" applyFill="1" applyAlignment="1">
      <alignment horizontal="right"/>
    </xf>
    <xf numFmtId="0" fontId="6" fillId="22" borderId="74" xfId="0" applyFont="1" applyFill="1" applyBorder="1" applyAlignment="1">
      <alignment horizontal="right"/>
    </xf>
    <xf numFmtId="0" fontId="0" fillId="11" borderId="74" xfId="0" applyFill="1" applyBorder="1" applyAlignment="1">
      <alignment horizontal="right"/>
    </xf>
    <xf numFmtId="0" fontId="4" fillId="4" borderId="7" xfId="0" applyFont="1" applyFill="1" applyBorder="1" applyAlignment="1">
      <alignment horizontal="left"/>
    </xf>
    <xf numFmtId="0" fontId="0" fillId="0" borderId="0" xfId="0" applyAlignment="1">
      <alignment horizontal="left"/>
    </xf>
    <xf numFmtId="0" fontId="8" fillId="2" borderId="44" xfId="0" applyFont="1" applyFill="1" applyBorder="1" applyAlignment="1" applyProtection="1">
      <alignment horizontal="left" vertical="top" wrapText="1"/>
      <protection locked="0"/>
    </xf>
    <xf numFmtId="0" fontId="3" fillId="0" borderId="59" xfId="0" applyFont="1" applyBorder="1" applyProtection="1">
      <protection locked="0"/>
    </xf>
    <xf numFmtId="0" fontId="3" fillId="0" borderId="60" xfId="0" applyFont="1" applyBorder="1" applyProtection="1">
      <protection locked="0"/>
    </xf>
    <xf numFmtId="0" fontId="8" fillId="2" borderId="63" xfId="0" applyFont="1" applyFill="1" applyBorder="1" applyAlignment="1" applyProtection="1">
      <alignment horizontal="left" vertical="top" wrapText="1"/>
      <protection locked="0"/>
    </xf>
    <xf numFmtId="0" fontId="3" fillId="0" borderId="64" xfId="0" applyFont="1" applyBorder="1" applyProtection="1">
      <protection locked="0"/>
    </xf>
    <xf numFmtId="0" fontId="3" fillId="0" borderId="65" xfId="0" applyFont="1" applyBorder="1" applyProtection="1">
      <protection locked="0"/>
    </xf>
    <xf numFmtId="0" fontId="4" fillId="4" borderId="40" xfId="0" applyFont="1" applyFill="1" applyBorder="1" applyAlignment="1">
      <alignment horizontal="right" vertical="center"/>
    </xf>
    <xf numFmtId="0" fontId="3" fillId="0" borderId="41" xfId="0" applyFont="1" applyBorder="1"/>
    <xf numFmtId="0" fontId="7" fillId="4" borderId="42" xfId="0" applyFont="1" applyFill="1" applyBorder="1" applyAlignment="1">
      <alignment vertical="center"/>
    </xf>
    <xf numFmtId="0" fontId="3" fillId="0" borderId="6" xfId="0" applyFont="1" applyBorder="1"/>
    <xf numFmtId="0" fontId="49" fillId="4" borderId="44" xfId="0" applyFont="1" applyFill="1" applyBorder="1" applyAlignment="1">
      <alignment horizontal="left" vertical="top" wrapText="1"/>
    </xf>
    <xf numFmtId="0" fontId="3" fillId="0" borderId="45" xfId="0" applyFont="1" applyBorder="1"/>
    <xf numFmtId="0" fontId="3" fillId="0" borderId="46" xfId="0" applyFont="1" applyBorder="1"/>
    <xf numFmtId="0" fontId="3" fillId="0" borderId="47" xfId="0" applyFont="1" applyBorder="1"/>
    <xf numFmtId="0" fontId="2" fillId="3" borderId="48" xfId="0" applyFont="1" applyFill="1" applyBorder="1" applyAlignment="1">
      <alignment horizontal="left" vertical="center" wrapText="1"/>
    </xf>
    <xf numFmtId="0" fontId="3" fillId="0" borderId="49" xfId="0" applyFont="1" applyBorder="1"/>
    <xf numFmtId="0" fontId="3" fillId="0" borderId="50" xfId="0" applyFont="1" applyBorder="1"/>
    <xf numFmtId="0" fontId="8" fillId="2" borderId="34" xfId="0" applyFont="1" applyFill="1" applyBorder="1" applyAlignment="1" applyProtection="1">
      <alignment horizontal="left" vertical="top" wrapText="1"/>
      <protection locked="0"/>
    </xf>
    <xf numFmtId="0" fontId="3" fillId="0" borderId="3" xfId="0" applyFont="1" applyBorder="1" applyProtection="1">
      <protection locked="0"/>
    </xf>
    <xf numFmtId="0" fontId="3" fillId="0" borderId="4" xfId="0" applyFont="1" applyBorder="1" applyProtection="1">
      <protection locked="0"/>
    </xf>
    <xf numFmtId="0" fontId="4" fillId="3" borderId="14" xfId="0" applyFont="1" applyFill="1" applyBorder="1" applyAlignment="1">
      <alignment horizontal="right" vertical="center" wrapText="1"/>
    </xf>
    <xf numFmtId="0" fontId="3" fillId="11" borderId="15" xfId="0" applyFont="1" applyFill="1" applyBorder="1"/>
    <xf numFmtId="0" fontId="6" fillId="3" borderId="16" xfId="0" applyFont="1" applyFill="1" applyBorder="1" applyAlignment="1">
      <alignment horizontal="right" vertical="center" wrapText="1"/>
    </xf>
    <xf numFmtId="0" fontId="3" fillId="11" borderId="17" xfId="0" applyFont="1" applyFill="1" applyBorder="1"/>
    <xf numFmtId="0" fontId="3" fillId="11" borderId="16" xfId="0" applyFont="1" applyFill="1" applyBorder="1"/>
    <xf numFmtId="0" fontId="31" fillId="4" borderId="20" xfId="0" applyFont="1" applyFill="1" applyBorder="1" applyAlignment="1">
      <alignment horizontal="center" vertical="center" wrapText="1"/>
    </xf>
    <xf numFmtId="0" fontId="3" fillId="0" borderId="21" xfId="0" applyFont="1" applyBorder="1"/>
    <xf numFmtId="164" fontId="7" fillId="12" borderId="18" xfId="0" applyNumberFormat="1" applyFont="1" applyFill="1" applyBorder="1" applyAlignment="1">
      <alignment horizontal="left" vertical="center" wrapText="1"/>
    </xf>
    <xf numFmtId="0" fontId="3" fillId="11" borderId="18" xfId="0" applyFont="1" applyFill="1" applyBorder="1"/>
    <xf numFmtId="0" fontId="2" fillId="4" borderId="5" xfId="0" applyFont="1" applyFill="1" applyBorder="1" applyAlignment="1">
      <alignment horizontal="center" vertical="center" wrapText="1"/>
    </xf>
    <xf numFmtId="0" fontId="3" fillId="0" borderId="22" xfId="0" applyFont="1" applyBorder="1"/>
    <xf numFmtId="0" fontId="2" fillId="12" borderId="34" xfId="0" applyFont="1" applyFill="1" applyBorder="1" applyAlignment="1">
      <alignment horizontal="center" vertical="center"/>
    </xf>
    <xf numFmtId="0" fontId="3" fillId="11" borderId="34" xfId="0" applyFont="1" applyFill="1" applyBorder="1"/>
    <xf numFmtId="0" fontId="2" fillId="12" borderId="66" xfId="0" applyFont="1" applyFill="1" applyBorder="1" applyAlignment="1">
      <alignment horizontal="center" vertical="center" wrapText="1"/>
    </xf>
    <xf numFmtId="0" fontId="3" fillId="11" borderId="66" xfId="0" applyFont="1" applyFill="1" applyBorder="1"/>
    <xf numFmtId="0" fontId="2" fillId="11" borderId="66" xfId="0" applyFont="1" applyFill="1" applyBorder="1" applyAlignment="1">
      <alignment horizontal="center" vertical="center"/>
    </xf>
    <xf numFmtId="9" fontId="17" fillId="4" borderId="29" xfId="0" applyNumberFormat="1" applyFont="1" applyFill="1" applyBorder="1" applyAlignment="1">
      <alignment horizontal="center" vertical="center"/>
    </xf>
    <xf numFmtId="0" fontId="3" fillId="0" borderId="30" xfId="0" applyFont="1" applyBorder="1"/>
    <xf numFmtId="165" fontId="4" fillId="3" borderId="32" xfId="0" applyNumberFormat="1" applyFont="1" applyFill="1" applyBorder="1" applyAlignment="1">
      <alignment horizontal="right" vertical="center"/>
    </xf>
    <xf numFmtId="0" fontId="3" fillId="0" borderId="33" xfId="0" applyFont="1" applyBorder="1"/>
    <xf numFmtId="165" fontId="4" fillId="3" borderId="34" xfId="0" applyNumberFormat="1" applyFont="1" applyFill="1" applyBorder="1" applyAlignment="1">
      <alignment horizontal="right" vertical="center"/>
    </xf>
    <xf numFmtId="0" fontId="3" fillId="0" borderId="35" xfId="0" applyFont="1" applyBorder="1"/>
    <xf numFmtId="165" fontId="4" fillId="3" borderId="37" xfId="0" applyNumberFormat="1" applyFont="1" applyFill="1" applyBorder="1" applyAlignment="1">
      <alignment horizontal="right" vertical="center"/>
    </xf>
    <xf numFmtId="0" fontId="3" fillId="0" borderId="38" xfId="0" applyFont="1" applyBorder="1"/>
    <xf numFmtId="6" fontId="4" fillId="4" borderId="40" xfId="0" applyNumberFormat="1" applyFont="1" applyFill="1" applyBorder="1" applyAlignment="1">
      <alignment horizontal="right" vertical="center" wrapText="1"/>
    </xf>
    <xf numFmtId="0" fontId="12" fillId="4" borderId="71" xfId="0" applyFont="1" applyFill="1" applyBorder="1" applyAlignment="1">
      <alignment horizontal="left" vertical="top" wrapText="1"/>
    </xf>
    <xf numFmtId="0" fontId="4" fillId="3" borderId="74" xfId="0" applyFont="1" applyFill="1" applyBorder="1" applyAlignment="1">
      <alignment horizontal="left"/>
    </xf>
    <xf numFmtId="0" fontId="0" fillId="0" borderId="74" xfId="0" applyBorder="1" applyAlignment="1">
      <alignment horizontal="left"/>
    </xf>
    <xf numFmtId="0" fontId="4" fillId="3" borderId="75" xfId="0" applyFont="1" applyFill="1" applyBorder="1" applyAlignment="1">
      <alignment horizontal="left"/>
    </xf>
    <xf numFmtId="0" fontId="0" fillId="0" borderId="75" xfId="0" applyBorder="1" applyAlignment="1">
      <alignment horizontal="left"/>
    </xf>
    <xf numFmtId="0" fontId="4" fillId="3" borderId="76" xfId="0" applyFont="1" applyFill="1" applyBorder="1" applyAlignment="1">
      <alignment horizontal="left"/>
    </xf>
    <xf numFmtId="0" fontId="0" fillId="0" borderId="76" xfId="0" applyBorder="1" applyAlignment="1">
      <alignment horizontal="left"/>
    </xf>
    <xf numFmtId="0" fontId="4" fillId="3" borderId="15" xfId="0" applyFont="1" applyFill="1" applyBorder="1" applyAlignment="1">
      <alignment horizontal="right" vertical="center" wrapText="1"/>
    </xf>
    <xf numFmtId="0" fontId="6" fillId="3" borderId="66" xfId="0" applyFont="1" applyFill="1" applyBorder="1" applyAlignment="1">
      <alignment horizontal="right" vertical="center" wrapText="1"/>
    </xf>
    <xf numFmtId="0" fontId="8" fillId="2" borderId="74" xfId="0" applyFont="1" applyFill="1" applyBorder="1" applyAlignment="1" applyProtection="1">
      <alignment horizontal="left" vertical="top" wrapText="1"/>
      <protection locked="0"/>
    </xf>
    <xf numFmtId="0" fontId="8" fillId="2" borderId="75" xfId="0" applyFont="1" applyFill="1" applyBorder="1" applyAlignment="1" applyProtection="1">
      <alignment horizontal="left" vertical="top" wrapText="1"/>
      <protection locked="0"/>
    </xf>
    <xf numFmtId="0" fontId="8" fillId="2" borderId="77" xfId="0" applyFont="1" applyFill="1" applyBorder="1" applyAlignment="1" applyProtection="1">
      <alignment horizontal="left" vertical="top" wrapText="1"/>
      <protection locked="0"/>
    </xf>
    <xf numFmtId="0" fontId="8" fillId="2" borderId="61" xfId="0" applyFont="1" applyFill="1" applyBorder="1" applyAlignment="1" applyProtection="1">
      <alignment horizontal="left" vertical="top" wrapText="1"/>
      <protection locked="0"/>
    </xf>
    <xf numFmtId="0" fontId="8" fillId="2" borderId="25" xfId="0" applyFont="1" applyFill="1" applyBorder="1" applyAlignment="1" applyProtection="1">
      <alignment horizontal="left" vertical="top" wrapText="1"/>
      <protection locked="0"/>
    </xf>
    <xf numFmtId="0" fontId="8" fillId="2" borderId="71" xfId="0" applyFont="1" applyFill="1" applyBorder="1" applyAlignment="1" applyProtection="1">
      <alignment horizontal="left" vertical="top" wrapText="1"/>
      <protection locked="0"/>
    </xf>
    <xf numFmtId="0" fontId="8" fillId="2" borderId="78" xfId="0" applyFont="1" applyFill="1" applyBorder="1" applyAlignment="1" applyProtection="1">
      <alignment horizontal="left" vertical="top" wrapText="1"/>
      <protection locked="0"/>
    </xf>
    <xf numFmtId="0" fontId="8" fillId="2" borderId="69" xfId="0" applyFont="1" applyFill="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Light16"/>
  <colors>
    <mruColors>
      <color rgb="FFD3E5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xdr:colOff>
      <xdr:row>28</xdr:row>
      <xdr:rowOff>47625</xdr:rowOff>
    </xdr:from>
    <xdr:ext cx="5286376" cy="1066800"/>
    <xdr:pic>
      <xdr:nvPicPr>
        <xdr:cNvPr id="2" name="image3.png">
          <a:extLst>
            <a:ext uri="{FF2B5EF4-FFF2-40B4-BE49-F238E27FC236}">
              <a16:creationId xmlns:a16="http://schemas.microsoft.com/office/drawing/2014/main" id="{00000000-0008-0000-0100-000002000000}"/>
            </a:ext>
          </a:extLst>
        </xdr:cNvPr>
        <xdr:cNvPicPr preferRelativeResize="0"/>
      </xdr:nvPicPr>
      <xdr:blipFill rotWithShape="1">
        <a:blip xmlns:r="http://schemas.openxmlformats.org/officeDocument/2006/relationships" r:embed="rId1" cstate="print"/>
        <a:srcRect l="12608" b="14634"/>
        <a:stretch/>
      </xdr:blipFill>
      <xdr:spPr>
        <a:xfrm>
          <a:off x="19050" y="9163050"/>
          <a:ext cx="5286376" cy="1066800"/>
        </a:xfrm>
        <a:prstGeom prst="rect">
          <a:avLst/>
        </a:prstGeom>
        <a:noFill/>
        <a:ln>
          <a:solidFill>
            <a:sysClr val="windowText" lastClr="000000"/>
          </a:solidFill>
        </a:ln>
      </xdr:spPr>
    </xdr:pic>
    <xdr:clientData fLocksWithSheet="0"/>
  </xdr:oneCellAnchor>
  <xdr:oneCellAnchor>
    <xdr:from>
      <xdr:col>0</xdr:col>
      <xdr:colOff>28575</xdr:colOff>
      <xdr:row>32</xdr:row>
      <xdr:rowOff>38101</xdr:rowOff>
    </xdr:from>
    <xdr:ext cx="6210300" cy="1238249"/>
    <xdr:pic>
      <xdr:nvPicPr>
        <xdr:cNvPr id="3" name="image1.png">
          <a:extLst>
            <a:ext uri="{FF2B5EF4-FFF2-40B4-BE49-F238E27FC236}">
              <a16:creationId xmlns:a16="http://schemas.microsoft.com/office/drawing/2014/main" id="{00000000-0008-0000-0100-000003000000}"/>
            </a:ext>
          </a:extLst>
        </xdr:cNvPr>
        <xdr:cNvPicPr preferRelativeResize="0"/>
      </xdr:nvPicPr>
      <xdr:blipFill rotWithShape="1">
        <a:blip xmlns:r="http://schemas.openxmlformats.org/officeDocument/2006/relationships" r:embed="rId2" cstate="print"/>
        <a:srcRect b="12751"/>
        <a:stretch/>
      </xdr:blipFill>
      <xdr:spPr>
        <a:xfrm>
          <a:off x="28575" y="10906126"/>
          <a:ext cx="6210300" cy="1238249"/>
        </a:xfrm>
        <a:prstGeom prst="rect">
          <a:avLst/>
        </a:prstGeom>
        <a:noFill/>
        <a:ln>
          <a:solidFill>
            <a:sysClr val="windowText" lastClr="000000"/>
          </a:solidFill>
        </a:ln>
      </xdr:spPr>
    </xdr:pic>
    <xdr:clientData fLocksWithSheet="0"/>
  </xdr:oneCellAnchor>
  <xdr:oneCellAnchor>
    <xdr:from>
      <xdr:col>4</xdr:col>
      <xdr:colOff>19050</xdr:colOff>
      <xdr:row>32</xdr:row>
      <xdr:rowOff>38101</xdr:rowOff>
    </xdr:from>
    <xdr:ext cx="6181725" cy="1219199"/>
    <xdr:pic>
      <xdr:nvPicPr>
        <xdr:cNvPr id="4" name="image2.png">
          <a:extLst>
            <a:ext uri="{FF2B5EF4-FFF2-40B4-BE49-F238E27FC236}">
              <a16:creationId xmlns:a16="http://schemas.microsoft.com/office/drawing/2014/main" id="{00000000-0008-0000-0100-000004000000}"/>
            </a:ext>
          </a:extLst>
        </xdr:cNvPr>
        <xdr:cNvPicPr preferRelativeResize="0"/>
      </xdr:nvPicPr>
      <xdr:blipFill rotWithShape="1">
        <a:blip xmlns:r="http://schemas.openxmlformats.org/officeDocument/2006/relationships" r:embed="rId3" cstate="print"/>
        <a:srcRect b="12924"/>
        <a:stretch/>
      </xdr:blipFill>
      <xdr:spPr>
        <a:xfrm>
          <a:off x="7172325" y="10906126"/>
          <a:ext cx="6181725" cy="1219199"/>
        </a:xfrm>
        <a:prstGeom prst="rect">
          <a:avLst/>
        </a:prstGeom>
        <a:noFill/>
        <a:ln>
          <a:solidFill>
            <a:sysClr val="windowText" lastClr="000000"/>
          </a:solidFill>
        </a:ln>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008"/>
  <sheetViews>
    <sheetView tabSelected="1" workbookViewId="0">
      <selection activeCell="G1" sqref="G1"/>
    </sheetView>
  </sheetViews>
  <sheetFormatPr baseColWidth="10" defaultColWidth="14.42578125" defaultRowHeight="15" customHeight="1"/>
  <cols>
    <col min="1" max="3" width="31.85546875" customWidth="1"/>
    <col min="4" max="4" width="11.7109375" bestFit="1" customWidth="1"/>
    <col min="5" max="7" width="31.85546875" customWidth="1"/>
    <col min="8" max="10" width="10.7109375" customWidth="1"/>
  </cols>
  <sheetData>
    <row r="1" spans="1:11" ht="15" customHeight="1">
      <c r="A1" s="112"/>
      <c r="B1" s="112"/>
      <c r="C1" s="112"/>
      <c r="D1" s="273" t="s">
        <v>149</v>
      </c>
      <c r="E1" s="274"/>
      <c r="F1" s="275"/>
      <c r="G1" s="146"/>
    </row>
    <row r="2" spans="1:11" ht="15" customHeight="1">
      <c r="A2" s="112"/>
      <c r="B2" s="112"/>
      <c r="C2" s="112"/>
      <c r="D2" s="112"/>
      <c r="E2" s="112"/>
      <c r="F2" s="112"/>
      <c r="G2" s="112"/>
    </row>
    <row r="3" spans="1:11" ht="26.25">
      <c r="A3" s="235" t="s">
        <v>135</v>
      </c>
      <c r="B3" s="236"/>
      <c r="C3" s="236"/>
      <c r="D3" s="235"/>
      <c r="E3" s="236"/>
      <c r="F3" s="236"/>
      <c r="G3" s="235"/>
    </row>
    <row r="4" spans="1:11" ht="60" customHeight="1">
      <c r="A4" s="243" t="s">
        <v>163</v>
      </c>
      <c r="B4" s="244"/>
      <c r="C4" s="244"/>
      <c r="D4" s="244"/>
      <c r="E4" s="244"/>
      <c r="F4" s="244"/>
      <c r="G4" s="244"/>
      <c r="H4" s="115"/>
      <c r="I4" s="115"/>
      <c r="J4" s="115"/>
      <c r="K4" s="115"/>
    </row>
    <row r="5" spans="1:11" s="118" customFormat="1" ht="15" customHeight="1">
      <c r="A5" s="116" t="s">
        <v>0</v>
      </c>
      <c r="B5" s="117" t="s">
        <v>137</v>
      </c>
      <c r="C5" s="259" t="s">
        <v>1</v>
      </c>
      <c r="D5" s="259"/>
      <c r="E5" s="181" t="s">
        <v>150</v>
      </c>
      <c r="F5" s="181" t="s">
        <v>151</v>
      </c>
      <c r="G5" s="117"/>
    </row>
    <row r="6" spans="1:11" s="122" customFormat="1">
      <c r="A6" s="119" t="s">
        <v>2</v>
      </c>
      <c r="B6" s="119"/>
      <c r="C6" s="119"/>
      <c r="D6" s="120"/>
      <c r="E6" s="121"/>
      <c r="F6" s="121"/>
      <c r="G6" s="117"/>
    </row>
    <row r="7" spans="1:11" ht="33.75">
      <c r="A7" s="123" t="s">
        <v>3</v>
      </c>
      <c r="B7" s="184" t="s">
        <v>155</v>
      </c>
      <c r="C7" s="269" t="s">
        <v>156</v>
      </c>
      <c r="D7" s="269"/>
      <c r="E7" s="124">
        <v>0</v>
      </c>
      <c r="F7" s="185" t="s">
        <v>152</v>
      </c>
      <c r="G7" s="117"/>
    </row>
    <row r="8" spans="1:11" ht="18.75">
      <c r="A8" s="182" t="s">
        <v>153</v>
      </c>
      <c r="B8" s="127">
        <v>250</v>
      </c>
      <c r="C8" s="280" t="s">
        <v>154</v>
      </c>
      <c r="D8" s="281"/>
      <c r="E8" s="183">
        <v>1</v>
      </c>
      <c r="F8" s="128">
        <v>0.7</v>
      </c>
      <c r="G8" s="117"/>
    </row>
    <row r="9" spans="1:11" s="122" customFormat="1">
      <c r="A9" s="119" t="s">
        <v>5</v>
      </c>
      <c r="B9" s="119"/>
      <c r="C9" s="129"/>
      <c r="D9" s="120"/>
      <c r="E9" s="121"/>
      <c r="F9" s="121"/>
      <c r="G9" s="117"/>
    </row>
    <row r="10" spans="1:11" ht="33.75">
      <c r="A10" s="123" t="s">
        <v>3</v>
      </c>
      <c r="B10" s="184" t="s">
        <v>155</v>
      </c>
      <c r="C10" s="269" t="s">
        <v>156</v>
      </c>
      <c r="D10" s="282"/>
      <c r="E10" s="124">
        <v>0</v>
      </c>
      <c r="F10" s="185" t="s">
        <v>159</v>
      </c>
      <c r="G10" s="117"/>
    </row>
    <row r="11" spans="1:11" ht="18.75">
      <c r="A11" s="125" t="s">
        <v>4</v>
      </c>
      <c r="B11" s="130">
        <v>250</v>
      </c>
      <c r="C11" s="283" t="s">
        <v>154</v>
      </c>
      <c r="D11" s="284"/>
      <c r="E11" s="186">
        <v>1</v>
      </c>
      <c r="F11" s="126">
        <v>0.5</v>
      </c>
      <c r="G11" s="117"/>
    </row>
    <row r="12" spans="1:11" ht="15" customHeight="1">
      <c r="A12" s="247" t="s">
        <v>157</v>
      </c>
      <c r="B12" s="248"/>
      <c r="C12" s="248"/>
      <c r="D12" s="248"/>
      <c r="E12" s="248"/>
      <c r="F12" s="248"/>
      <c r="G12" s="248"/>
      <c r="H12" s="131"/>
      <c r="I12" s="131"/>
      <c r="J12" s="131"/>
    </row>
    <row r="13" spans="1:11" ht="27.75" customHeight="1">
      <c r="A13" s="249" t="s">
        <v>158</v>
      </c>
      <c r="B13" s="249"/>
      <c r="C13" s="249"/>
      <c r="D13" s="249"/>
      <c r="E13" s="249"/>
      <c r="F13" s="249"/>
      <c r="G13" s="249"/>
      <c r="H13" s="131"/>
      <c r="I13" s="131"/>
      <c r="J13" s="131"/>
    </row>
    <row r="14" spans="1:11" ht="15" customHeight="1">
      <c r="A14" s="112"/>
      <c r="B14" s="112"/>
      <c r="C14" s="112"/>
      <c r="D14" s="112"/>
      <c r="E14" s="112"/>
      <c r="F14" s="112"/>
      <c r="G14" s="112"/>
    </row>
    <row r="15" spans="1:11" ht="26.25">
      <c r="A15" s="235" t="s">
        <v>134</v>
      </c>
      <c r="B15" s="236"/>
      <c r="C15" s="236"/>
      <c r="D15" s="235"/>
      <c r="E15" s="236"/>
      <c r="F15" s="236"/>
      <c r="G15" s="235"/>
    </row>
    <row r="16" spans="1:11">
      <c r="A16" s="3"/>
      <c r="B16" s="132"/>
      <c r="C16" s="132"/>
      <c r="D16" s="132"/>
      <c r="E16" s="132"/>
      <c r="F16" s="132"/>
      <c r="G16" s="112"/>
    </row>
    <row r="17" spans="1:7" s="122" customFormat="1">
      <c r="A17" s="119" t="s">
        <v>6</v>
      </c>
      <c r="B17" s="119"/>
      <c r="C17" s="119"/>
      <c r="D17" s="119"/>
      <c r="E17" s="119"/>
      <c r="F17" s="119"/>
      <c r="G17" s="120"/>
    </row>
    <row r="18" spans="1:7">
      <c r="A18" s="246" t="s">
        <v>116</v>
      </c>
      <c r="B18" s="246"/>
      <c r="C18" s="246"/>
      <c r="D18" s="134"/>
      <c r="E18" s="245" t="s">
        <v>119</v>
      </c>
      <c r="F18" s="245"/>
      <c r="G18" s="245"/>
    </row>
    <row r="19" spans="1:7">
      <c r="A19" s="246" t="s">
        <v>117</v>
      </c>
      <c r="B19" s="246"/>
      <c r="C19" s="246"/>
      <c r="D19" s="134"/>
      <c r="E19" s="246" t="s">
        <v>120</v>
      </c>
      <c r="F19" s="246"/>
      <c r="G19" s="246"/>
    </row>
    <row r="20" spans="1:7">
      <c r="A20" s="246" t="s">
        <v>118</v>
      </c>
      <c r="B20" s="246"/>
      <c r="C20" s="246"/>
      <c r="D20" s="134"/>
      <c r="E20" s="246" t="s">
        <v>121</v>
      </c>
      <c r="F20" s="246"/>
      <c r="G20" s="246"/>
    </row>
    <row r="21" spans="1:7">
      <c r="A21" s="95"/>
      <c r="B21" s="95"/>
      <c r="C21" s="95"/>
      <c r="D21" s="95"/>
      <c r="E21" s="95"/>
      <c r="F21" s="95"/>
    </row>
    <row r="22" spans="1:7" s="122" customFormat="1">
      <c r="A22" s="119" t="s">
        <v>7</v>
      </c>
      <c r="B22" s="119"/>
      <c r="C22" s="119"/>
      <c r="D22" s="119"/>
      <c r="E22" s="119"/>
      <c r="F22" s="119"/>
      <c r="G22" s="120"/>
    </row>
    <row r="23" spans="1:7">
      <c r="A23" s="234" t="s">
        <v>8</v>
      </c>
      <c r="B23" s="234"/>
      <c r="C23" s="234"/>
      <c r="D23" s="234"/>
      <c r="E23" s="234"/>
      <c r="F23" s="234"/>
      <c r="G23" s="234"/>
    </row>
    <row r="24" spans="1:7">
      <c r="A24" s="276" t="s">
        <v>129</v>
      </c>
      <c r="B24" s="276"/>
      <c r="C24" s="276"/>
      <c r="D24" s="135"/>
      <c r="E24" s="276" t="s">
        <v>128</v>
      </c>
      <c r="F24" s="276"/>
      <c r="G24" s="276"/>
    </row>
    <row r="25" spans="1:7">
      <c r="A25" s="277" t="s">
        <v>122</v>
      </c>
      <c r="B25" s="277"/>
      <c r="C25" s="277"/>
      <c r="D25" s="136"/>
      <c r="E25" s="276"/>
      <c r="F25" s="276"/>
      <c r="G25" s="276"/>
    </row>
    <row r="26" spans="1:7" ht="30" customHeight="1">
      <c r="A26" s="278" t="s">
        <v>123</v>
      </c>
      <c r="B26" s="278"/>
      <c r="C26" s="278"/>
      <c r="D26" s="137"/>
      <c r="E26" s="276"/>
      <c r="F26" s="276"/>
      <c r="G26" s="276"/>
    </row>
    <row r="27" spans="1:7">
      <c r="A27" s="138"/>
      <c r="B27" s="138"/>
      <c r="C27" s="138"/>
      <c r="D27" s="138"/>
      <c r="E27" s="138"/>
      <c r="F27" s="138"/>
    </row>
    <row r="28" spans="1:7" s="122" customFormat="1">
      <c r="A28" s="279" t="s">
        <v>133</v>
      </c>
      <c r="B28" s="279"/>
      <c r="C28" s="279"/>
      <c r="D28" s="279"/>
      <c r="E28" s="279"/>
      <c r="F28" s="279"/>
      <c r="G28" s="279"/>
    </row>
    <row r="29" spans="1:7" ht="92.25" customHeight="1">
      <c r="A29" s="139"/>
      <c r="B29" s="139"/>
      <c r="C29" s="139"/>
      <c r="D29" s="139"/>
      <c r="E29" s="139"/>
      <c r="F29" s="139"/>
      <c r="G29" s="112"/>
    </row>
    <row r="30" spans="1:7" ht="15.75">
      <c r="A30" s="139"/>
      <c r="B30" s="139"/>
      <c r="C30" s="139"/>
      <c r="D30" s="139"/>
      <c r="E30" s="139"/>
      <c r="F30" s="139"/>
      <c r="G30" s="112"/>
    </row>
    <row r="31" spans="1:7" s="122" customFormat="1">
      <c r="A31" s="119" t="s">
        <v>9</v>
      </c>
      <c r="B31" s="119"/>
      <c r="C31" s="119"/>
      <c r="D31" s="119"/>
      <c r="E31" s="119"/>
      <c r="F31" s="119"/>
      <c r="G31" s="120"/>
    </row>
    <row r="32" spans="1:7">
      <c r="A32" s="239" t="s">
        <v>126</v>
      </c>
      <c r="B32" s="239"/>
      <c r="C32" s="239"/>
      <c r="D32" s="133"/>
      <c r="E32" s="239" t="s">
        <v>125</v>
      </c>
      <c r="F32" s="239"/>
      <c r="G32" s="239"/>
    </row>
    <row r="33" spans="1:7" ht="101.25" customHeight="1">
      <c r="A33" s="138"/>
      <c r="B33" s="138"/>
      <c r="C33" s="138"/>
      <c r="D33" s="138"/>
      <c r="E33" s="238"/>
      <c r="F33" s="238"/>
      <c r="G33" s="238"/>
    </row>
    <row r="34" spans="1:7" ht="48.75" customHeight="1">
      <c r="A34" s="240" t="s">
        <v>124</v>
      </c>
      <c r="B34" s="240"/>
      <c r="C34" s="240"/>
      <c r="D34" s="140"/>
      <c r="E34" s="240" t="s">
        <v>127</v>
      </c>
      <c r="F34" s="240"/>
      <c r="G34" s="240"/>
    </row>
    <row r="35" spans="1:7">
      <c r="A35" s="138"/>
      <c r="B35" s="138"/>
      <c r="C35" s="138"/>
      <c r="D35" s="138"/>
      <c r="E35" s="138"/>
      <c r="F35" s="138"/>
      <c r="G35" s="112"/>
    </row>
    <row r="36" spans="1:7" s="122" customFormat="1">
      <c r="A36" s="119" t="s">
        <v>10</v>
      </c>
      <c r="B36" s="119"/>
      <c r="C36" s="119"/>
      <c r="D36" s="119"/>
      <c r="E36" s="119"/>
      <c r="F36" s="119"/>
      <c r="G36" s="120"/>
    </row>
    <row r="37" spans="1:7" ht="15" customHeight="1">
      <c r="A37" s="241" t="s">
        <v>11</v>
      </c>
      <c r="B37" s="241"/>
      <c r="C37" s="241"/>
      <c r="D37" s="141"/>
      <c r="E37" s="242" t="s">
        <v>13</v>
      </c>
      <c r="F37" s="242"/>
      <c r="G37" s="242"/>
    </row>
    <row r="38" spans="1:7">
      <c r="A38" s="241" t="s">
        <v>12</v>
      </c>
      <c r="B38" s="241"/>
      <c r="C38" s="241"/>
      <c r="D38" s="141"/>
      <c r="E38" s="242"/>
      <c r="F38" s="242"/>
      <c r="G38" s="242"/>
    </row>
    <row r="39" spans="1:7">
      <c r="A39" s="260" t="s">
        <v>14</v>
      </c>
      <c r="B39" s="260"/>
      <c r="C39" s="260"/>
      <c r="D39" s="142"/>
      <c r="E39" s="142"/>
      <c r="F39" s="142"/>
      <c r="G39" s="112"/>
    </row>
    <row r="40" spans="1:7">
      <c r="A40" s="111"/>
      <c r="B40" s="111"/>
      <c r="C40" s="111"/>
      <c r="D40" s="111"/>
      <c r="E40" s="111"/>
      <c r="F40" s="111"/>
      <c r="G40" s="112"/>
    </row>
    <row r="41" spans="1:7">
      <c r="A41" s="237" t="s">
        <v>15</v>
      </c>
      <c r="B41" s="237"/>
      <c r="C41" s="237"/>
      <c r="D41" s="237"/>
      <c r="E41" s="237"/>
      <c r="F41" s="237"/>
      <c r="G41" s="237"/>
    </row>
    <row r="42" spans="1:7" ht="25.5" customHeight="1">
      <c r="A42" s="237" t="s">
        <v>16</v>
      </c>
      <c r="B42" s="237"/>
      <c r="C42" s="237"/>
      <c r="D42" s="237"/>
      <c r="E42" s="237"/>
      <c r="F42" s="237"/>
      <c r="G42" s="237"/>
    </row>
    <row r="43" spans="1:7" ht="25.5" customHeight="1">
      <c r="A43" s="240" t="s">
        <v>130</v>
      </c>
      <c r="B43" s="240"/>
      <c r="C43" s="240"/>
      <c r="D43" s="240"/>
      <c r="E43" s="240"/>
      <c r="F43" s="240"/>
      <c r="G43" s="240"/>
    </row>
    <row r="44" spans="1:7">
      <c r="A44" s="240" t="s">
        <v>131</v>
      </c>
      <c r="B44" s="240"/>
      <c r="C44" s="240"/>
      <c r="D44" s="240"/>
      <c r="E44" s="240"/>
      <c r="F44" s="240"/>
      <c r="G44" s="240"/>
    </row>
    <row r="45" spans="1:7">
      <c r="A45" s="240" t="s">
        <v>17</v>
      </c>
      <c r="B45" s="240"/>
      <c r="C45" s="240"/>
      <c r="D45" s="240"/>
      <c r="E45" s="240"/>
      <c r="F45" s="240"/>
      <c r="G45" s="240"/>
    </row>
    <row r="46" spans="1:7" ht="14.25" customHeight="1">
      <c r="A46" s="112"/>
      <c r="B46" s="112"/>
      <c r="C46" s="112"/>
      <c r="D46" s="112"/>
      <c r="E46" s="112"/>
      <c r="F46" s="112"/>
      <c r="G46" s="112"/>
    </row>
    <row r="47" spans="1:7" ht="26.25">
      <c r="A47" s="253" t="s">
        <v>18</v>
      </c>
      <c r="B47" s="253"/>
      <c r="C47" s="253"/>
      <c r="D47" s="253"/>
      <c r="E47" s="253"/>
      <c r="F47" s="253"/>
      <c r="G47" s="253"/>
    </row>
    <row r="48" spans="1:7" ht="14.25" customHeight="1">
      <c r="A48" s="254" t="s">
        <v>132</v>
      </c>
      <c r="B48" s="254"/>
      <c r="C48" s="254"/>
      <c r="D48" s="255"/>
      <c r="E48" s="255"/>
      <c r="F48" s="255"/>
      <c r="G48" s="255"/>
    </row>
    <row r="49" spans="1:7" ht="14.25" customHeight="1">
      <c r="A49" s="112"/>
      <c r="B49" s="112"/>
      <c r="C49" s="112"/>
      <c r="D49" s="112"/>
      <c r="E49" s="112"/>
      <c r="F49" s="112"/>
      <c r="G49" s="112"/>
    </row>
    <row r="50" spans="1:7" ht="14.25" customHeight="1">
      <c r="A50" s="143"/>
      <c r="B50" s="144"/>
      <c r="C50" s="144"/>
      <c r="D50" s="143" t="s">
        <v>19</v>
      </c>
      <c r="E50" s="258" t="s">
        <v>20</v>
      </c>
      <c r="F50" s="258"/>
      <c r="G50" s="258"/>
    </row>
    <row r="51" spans="1:7" ht="30" customHeight="1">
      <c r="A51" s="256" t="s">
        <v>160</v>
      </c>
      <c r="B51" s="256"/>
      <c r="C51" s="257"/>
      <c r="D51" s="145"/>
      <c r="E51" s="378"/>
      <c r="F51" s="379"/>
      <c r="G51" s="379"/>
    </row>
    <row r="52" spans="1:7" ht="30" customHeight="1">
      <c r="A52" s="261" t="s">
        <v>21</v>
      </c>
      <c r="B52" s="262"/>
      <c r="C52" s="263"/>
      <c r="D52" s="145"/>
      <c r="E52" s="380"/>
      <c r="F52" s="381"/>
      <c r="G52" s="381"/>
    </row>
    <row r="53" spans="1:7" ht="30" customHeight="1">
      <c r="A53" s="261" t="s">
        <v>22</v>
      </c>
      <c r="B53" s="262"/>
      <c r="C53" s="263"/>
      <c r="D53" s="145"/>
      <c r="E53" s="380"/>
      <c r="F53" s="381"/>
      <c r="G53" s="381"/>
    </row>
    <row r="54" spans="1:7" ht="30" customHeight="1">
      <c r="A54" s="261" t="s">
        <v>23</v>
      </c>
      <c r="B54" s="262"/>
      <c r="C54" s="263"/>
      <c r="D54" s="145"/>
      <c r="E54" s="380"/>
      <c r="F54" s="381"/>
      <c r="G54" s="381"/>
    </row>
    <row r="55" spans="1:7" ht="30" customHeight="1">
      <c r="A55" s="266" t="s">
        <v>24</v>
      </c>
      <c r="B55" s="262"/>
      <c r="C55" s="263"/>
      <c r="D55" s="145"/>
      <c r="E55" s="380"/>
      <c r="F55" s="381"/>
      <c r="G55" s="381"/>
    </row>
    <row r="56" spans="1:7" ht="30" customHeight="1">
      <c r="A56" s="267" t="s">
        <v>138</v>
      </c>
      <c r="B56" s="262"/>
      <c r="C56" s="263"/>
      <c r="D56" s="145"/>
      <c r="E56" s="380"/>
      <c r="F56" s="381"/>
      <c r="G56" s="381"/>
    </row>
    <row r="57" spans="1:7" ht="30" customHeight="1">
      <c r="A57" s="271" t="s">
        <v>161</v>
      </c>
      <c r="B57" s="262"/>
      <c r="C57" s="263"/>
      <c r="D57" s="145"/>
      <c r="E57" s="380"/>
      <c r="F57" s="381"/>
      <c r="G57" s="381"/>
    </row>
    <row r="58" spans="1:7" ht="30" customHeight="1">
      <c r="A58" s="250" t="s">
        <v>25</v>
      </c>
      <c r="B58" s="251"/>
      <c r="C58" s="252"/>
      <c r="D58" s="145"/>
      <c r="E58" s="382"/>
      <c r="F58" s="383"/>
      <c r="G58" s="383"/>
    </row>
    <row r="59" spans="1:7" ht="14.25" customHeight="1">
      <c r="A59" s="268" t="s">
        <v>26</v>
      </c>
      <c r="B59" s="268"/>
      <c r="C59" s="268"/>
      <c r="D59" s="268"/>
      <c r="E59" s="268"/>
      <c r="F59" s="268"/>
      <c r="G59" s="268"/>
    </row>
    <row r="60" spans="1:7" ht="30" customHeight="1">
      <c r="A60" s="269" t="s">
        <v>27</v>
      </c>
      <c r="B60" s="269"/>
      <c r="C60" s="269"/>
      <c r="D60" s="270"/>
      <c r="E60" s="376"/>
      <c r="F60" s="376"/>
      <c r="G60" s="376"/>
    </row>
    <row r="61" spans="1:7" ht="30" customHeight="1">
      <c r="A61" s="272" t="s">
        <v>162</v>
      </c>
      <c r="B61" s="272"/>
      <c r="C61" s="272"/>
      <c r="D61" s="265"/>
      <c r="E61" s="377"/>
      <c r="F61" s="377"/>
      <c r="G61" s="377"/>
    </row>
    <row r="62" spans="1:7" ht="30" customHeight="1">
      <c r="A62" s="264" t="s">
        <v>28</v>
      </c>
      <c r="B62" s="264"/>
      <c r="C62" s="264"/>
      <c r="D62" s="265"/>
      <c r="E62" s="377"/>
      <c r="F62" s="377"/>
      <c r="G62" s="377"/>
    </row>
    <row r="63" spans="1:7" ht="14.25" customHeight="1"/>
    <row r="64" spans="1:7"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sheetData>
  <sheetProtection algorithmName="SHA-512" hashValue="OiB20KhumLxewwSd0vXLkC9rDMuWNq+ecvC79nRg8pGmdSm9r+Yb26Eq4dcxT6RUbG/pCo4kFQZogC+D8OAIMA==" saltValue="zrldFuZpfswcIE8pUN6Y1A==" spinCount="100000" sheet="1" objects="1" scenarios="1"/>
  <mergeCells count="63">
    <mergeCell ref="E61:G61"/>
    <mergeCell ref="E57:G57"/>
    <mergeCell ref="D1:F1"/>
    <mergeCell ref="A34:C34"/>
    <mergeCell ref="A24:C24"/>
    <mergeCell ref="A25:C25"/>
    <mergeCell ref="A26:C26"/>
    <mergeCell ref="E24:G26"/>
    <mergeCell ref="A28:G28"/>
    <mergeCell ref="C7:D7"/>
    <mergeCell ref="C8:D8"/>
    <mergeCell ref="C10:D10"/>
    <mergeCell ref="C11:D11"/>
    <mergeCell ref="A3:G3"/>
    <mergeCell ref="E60:G60"/>
    <mergeCell ref="E62:G62"/>
    <mergeCell ref="A39:C39"/>
    <mergeCell ref="A38:C38"/>
    <mergeCell ref="A52:C52"/>
    <mergeCell ref="A53:C53"/>
    <mergeCell ref="A54:C54"/>
    <mergeCell ref="E52:G52"/>
    <mergeCell ref="E53:G53"/>
    <mergeCell ref="A62:D62"/>
    <mergeCell ref="A55:C55"/>
    <mergeCell ref="A56:C56"/>
    <mergeCell ref="A59:G59"/>
    <mergeCell ref="A60:D60"/>
    <mergeCell ref="A57:C57"/>
    <mergeCell ref="A61:D61"/>
    <mergeCell ref="A58:C58"/>
    <mergeCell ref="A47:G47"/>
    <mergeCell ref="A43:G43"/>
    <mergeCell ref="A44:G44"/>
    <mergeCell ref="A45:G45"/>
    <mergeCell ref="A48:G48"/>
    <mergeCell ref="E54:G54"/>
    <mergeCell ref="E55:G55"/>
    <mergeCell ref="E56:G56"/>
    <mergeCell ref="A51:C51"/>
    <mergeCell ref="E50:G50"/>
    <mergeCell ref="E51:G51"/>
    <mergeCell ref="E58:G58"/>
    <mergeCell ref="A4:G4"/>
    <mergeCell ref="E18:G18"/>
    <mergeCell ref="E19:G19"/>
    <mergeCell ref="E20:G20"/>
    <mergeCell ref="A18:C18"/>
    <mergeCell ref="A19:C19"/>
    <mergeCell ref="A20:C20"/>
    <mergeCell ref="A12:G12"/>
    <mergeCell ref="A13:G13"/>
    <mergeCell ref="C5:D5"/>
    <mergeCell ref="A23:G23"/>
    <mergeCell ref="A15:G15"/>
    <mergeCell ref="A41:G41"/>
    <mergeCell ref="A42:G42"/>
    <mergeCell ref="E33:G33"/>
    <mergeCell ref="E32:G32"/>
    <mergeCell ref="A32:C32"/>
    <mergeCell ref="E34:G34"/>
    <mergeCell ref="A37:C37"/>
    <mergeCell ref="E37:G38"/>
  </mergeCells>
  <dataValidations count="3">
    <dataValidation type="list" allowBlank="1" showErrorMessage="1" sqref="G1" xr:uid="{4D8C46FD-20DF-40D7-ACAB-E40DDF84988C}">
      <formula1>"National,Local"</formula1>
    </dataValidation>
    <dataValidation type="list" allowBlank="1" showInputMessage="1" showErrorMessage="1" promptTitle="Classer de 1 à 8" prompt="Un même classement peut être attribué à plusieurs optimisations" sqref="D51:D58" xr:uid="{C965307E-D846-4E4B-BB2E-ECB4EF087D6D}">
      <formula1>"1,2,3,4,5,6,7"</formula1>
    </dataValidation>
    <dataValidation allowBlank="1" showErrorMessage="1" sqref="E51:G58 E60:G62" xr:uid="{3B9C93E2-60AF-43F7-8E3F-B156EE3CB8AE}"/>
  </dataValidations>
  <pageMargins left="0.23622047244094488" right="0.23622047244094488" top="0.74803149606299213" bottom="0.74803149606299213" header="0" footer="0"/>
  <pageSetup paperSize="8"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984"/>
  <sheetViews>
    <sheetView zoomScaleNormal="100" workbookViewId="0">
      <pane ySplit="3" topLeftCell="A4" activePane="bottomLeft" state="frozen"/>
      <selection activeCell="G1" sqref="G1"/>
      <selection pane="bottomLeft" activeCell="D25" sqref="D25"/>
    </sheetView>
  </sheetViews>
  <sheetFormatPr baseColWidth="10" defaultColWidth="14.42578125" defaultRowHeight="15" customHeight="1"/>
  <cols>
    <col min="1" max="1" width="48.42578125" bestFit="1" customWidth="1"/>
    <col min="2" max="2" width="31.140625" bestFit="1" customWidth="1"/>
    <col min="3" max="3" width="40.28515625" bestFit="1" customWidth="1"/>
    <col min="4" max="4" width="18.28515625" bestFit="1" customWidth="1"/>
    <col min="5" max="6" width="31.28515625" customWidth="1"/>
    <col min="7" max="7" width="53.5703125" customWidth="1"/>
    <col min="8" max="8" width="56.28515625" customWidth="1"/>
    <col min="9" max="27" width="10.7109375" customWidth="1"/>
  </cols>
  <sheetData>
    <row r="1" spans="1:27" ht="86.25" customHeight="1">
      <c r="A1" s="10" t="s">
        <v>165</v>
      </c>
      <c r="B1" s="11" t="s">
        <v>164</v>
      </c>
      <c r="C1" s="342"/>
      <c r="D1" s="343"/>
      <c r="E1" s="187"/>
      <c r="F1" s="12"/>
      <c r="G1" s="103"/>
      <c r="H1" s="13"/>
      <c r="I1" s="13"/>
      <c r="J1" s="13"/>
    </row>
    <row r="2" spans="1:27" ht="14.25" customHeight="1">
      <c r="A2" s="14" t="str">
        <f>B8</f>
        <v>Locatif social</v>
      </c>
      <c r="B2" s="15">
        <v>1</v>
      </c>
      <c r="C2" s="344"/>
      <c r="D2" s="345"/>
      <c r="E2" s="349"/>
      <c r="F2" s="16"/>
      <c r="G2" s="5"/>
      <c r="H2" s="13"/>
      <c r="I2" s="13"/>
      <c r="J2" s="13"/>
    </row>
    <row r="3" spans="1:27" ht="14.25" customHeight="1">
      <c r="A3" s="17" t="str">
        <f>C8</f>
        <v>Accession encadrée</v>
      </c>
      <c r="B3" s="18">
        <v>0</v>
      </c>
      <c r="C3" s="346"/>
      <c r="D3" s="345"/>
      <c r="E3" s="350"/>
      <c r="F3" s="5"/>
      <c r="G3" s="5"/>
      <c r="H3" s="13"/>
      <c r="I3" s="13"/>
      <c r="J3" s="13"/>
    </row>
    <row r="4" spans="1:27" ht="14.25" customHeight="1">
      <c r="A4" s="19"/>
      <c r="B4" s="19"/>
      <c r="C4" s="5"/>
      <c r="D4" s="5"/>
      <c r="E4" s="5"/>
      <c r="F4" s="5"/>
      <c r="G4" s="5"/>
      <c r="H4" s="13"/>
      <c r="I4" s="13"/>
      <c r="J4" s="13"/>
    </row>
    <row r="5" spans="1:27" ht="21">
      <c r="A5" s="299" t="s">
        <v>30</v>
      </c>
      <c r="B5" s="299"/>
      <c r="C5" s="299"/>
      <c r="D5" s="299"/>
      <c r="E5" s="299"/>
      <c r="F5" s="299"/>
      <c r="G5" s="299"/>
      <c r="H5" s="114"/>
      <c r="I5" s="114"/>
      <c r="J5" s="114"/>
      <c r="K5" s="114"/>
      <c r="L5" s="114"/>
      <c r="M5" s="114"/>
      <c r="N5" s="114"/>
      <c r="O5" s="114"/>
      <c r="P5" s="114"/>
      <c r="Q5" s="114"/>
      <c r="R5" s="114"/>
      <c r="S5" s="114"/>
      <c r="T5" s="114"/>
      <c r="U5" s="114"/>
      <c r="V5" s="114"/>
      <c r="W5" s="114"/>
      <c r="X5" s="114"/>
      <c r="Y5" s="114"/>
      <c r="Z5" s="114"/>
    </row>
    <row r="6" spans="1:27" ht="14.25" customHeight="1">
      <c r="A6" s="20" t="s">
        <v>31</v>
      </c>
      <c r="B6" s="21">
        <v>7000</v>
      </c>
      <c r="C6" s="22"/>
      <c r="D6" s="3"/>
      <c r="E6" s="23"/>
      <c r="F6" s="24"/>
      <c r="G6" s="24"/>
      <c r="H6" s="25"/>
      <c r="I6" s="26"/>
      <c r="J6" s="27"/>
      <c r="K6" s="3"/>
      <c r="L6" s="3"/>
      <c r="M6" s="3"/>
      <c r="N6" s="3"/>
      <c r="O6" s="3"/>
      <c r="P6" s="3"/>
      <c r="Q6" s="3"/>
      <c r="R6" s="3"/>
      <c r="S6" s="3"/>
      <c r="T6" s="3"/>
      <c r="U6" s="3"/>
      <c r="V6" s="3"/>
      <c r="W6" s="3"/>
      <c r="X6" s="3"/>
      <c r="Y6" s="3"/>
      <c r="Z6" s="3"/>
      <c r="AA6" s="3"/>
    </row>
    <row r="7" spans="1:27" ht="14.25" customHeight="1">
      <c r="A7" s="20" t="s">
        <v>32</v>
      </c>
      <c r="B7" s="6">
        <v>100</v>
      </c>
      <c r="C7" s="22"/>
      <c r="D7" s="3"/>
      <c r="E7" s="23"/>
      <c r="F7" s="24"/>
      <c r="G7" s="24"/>
      <c r="H7" s="25"/>
      <c r="I7" s="26"/>
      <c r="J7" s="27"/>
      <c r="K7" s="3"/>
      <c r="L7" s="3"/>
      <c r="M7" s="3"/>
      <c r="N7" s="3"/>
      <c r="O7" s="3"/>
      <c r="P7" s="3"/>
      <c r="Q7" s="3"/>
      <c r="R7" s="3"/>
      <c r="S7" s="3"/>
      <c r="T7" s="3"/>
      <c r="U7" s="3"/>
      <c r="V7" s="3"/>
      <c r="W7" s="3"/>
      <c r="X7" s="3"/>
      <c r="Y7" s="3"/>
      <c r="Z7" s="3"/>
      <c r="AA7" s="3"/>
    </row>
    <row r="8" spans="1:27" ht="14.25" customHeight="1">
      <c r="A8" s="28"/>
      <c r="B8" s="351" t="s">
        <v>33</v>
      </c>
      <c r="C8" s="347" t="s">
        <v>3</v>
      </c>
      <c r="D8" s="348"/>
      <c r="E8" s="353"/>
      <c r="F8" s="355"/>
      <c r="G8" s="357"/>
      <c r="H8" s="25"/>
      <c r="I8" s="26"/>
      <c r="J8" s="27"/>
      <c r="K8" s="3"/>
      <c r="L8" s="3"/>
      <c r="M8" s="3"/>
      <c r="N8" s="3"/>
      <c r="O8" s="3"/>
      <c r="P8" s="3"/>
      <c r="Q8" s="3"/>
      <c r="R8" s="3"/>
      <c r="S8" s="3"/>
      <c r="T8" s="3"/>
      <c r="U8" s="3"/>
      <c r="V8" s="3"/>
      <c r="W8" s="3"/>
      <c r="X8" s="3"/>
      <c r="Y8" s="3"/>
      <c r="Z8" s="3"/>
      <c r="AA8" s="3"/>
    </row>
    <row r="9" spans="1:27" ht="14.25" customHeight="1">
      <c r="A9" s="23"/>
      <c r="B9" s="352"/>
      <c r="C9" s="29" t="s">
        <v>35</v>
      </c>
      <c r="D9" s="188">
        <v>0</v>
      </c>
      <c r="E9" s="354"/>
      <c r="F9" s="356"/>
      <c r="G9" s="356"/>
      <c r="H9" s="30"/>
      <c r="I9" s="8"/>
      <c r="J9" s="27"/>
      <c r="K9" s="5"/>
      <c r="L9" s="5"/>
      <c r="M9" s="5"/>
      <c r="N9" s="5"/>
      <c r="O9" s="5"/>
      <c r="P9" s="5"/>
      <c r="Q9" s="5"/>
      <c r="R9" s="5"/>
      <c r="S9" s="5"/>
      <c r="T9" s="5"/>
      <c r="U9" s="5"/>
      <c r="V9" s="5"/>
      <c r="W9" s="5"/>
      <c r="X9" s="5"/>
      <c r="Y9" s="5"/>
      <c r="Z9" s="5"/>
      <c r="AA9" s="5"/>
    </row>
    <row r="10" spans="1:27" ht="14.25" customHeight="1">
      <c r="A10" s="23"/>
      <c r="B10" s="352"/>
      <c r="C10" s="31" t="s">
        <v>36</v>
      </c>
      <c r="D10" s="189">
        <v>0</v>
      </c>
      <c r="E10" s="354"/>
      <c r="F10" s="356"/>
      <c r="G10" s="356"/>
      <c r="H10" s="30"/>
      <c r="I10" s="8"/>
      <c r="J10" s="27"/>
      <c r="K10" s="5"/>
      <c r="L10" s="5"/>
      <c r="M10" s="5"/>
      <c r="N10" s="5"/>
      <c r="O10" s="5"/>
      <c r="P10" s="5"/>
      <c r="Q10" s="5"/>
      <c r="R10" s="5"/>
      <c r="S10" s="5"/>
      <c r="T10" s="5"/>
      <c r="U10" s="5"/>
      <c r="V10" s="5"/>
      <c r="W10" s="5"/>
      <c r="X10" s="5"/>
      <c r="Y10" s="5"/>
      <c r="Z10" s="5"/>
      <c r="AA10" s="5"/>
    </row>
    <row r="11" spans="1:27" ht="14.25" customHeight="1">
      <c r="A11" s="23"/>
      <c r="B11" s="352"/>
      <c r="C11" s="31" t="s">
        <v>37</v>
      </c>
      <c r="D11" s="189">
        <v>0</v>
      </c>
      <c r="E11" s="354"/>
      <c r="F11" s="356"/>
      <c r="G11" s="356"/>
      <c r="H11" s="30"/>
      <c r="I11" s="8"/>
      <c r="J11" s="27"/>
      <c r="K11" s="5"/>
      <c r="L11" s="5"/>
      <c r="M11" s="5"/>
      <c r="N11" s="5"/>
      <c r="O11" s="5"/>
      <c r="P11" s="5"/>
      <c r="Q11" s="5"/>
      <c r="R11" s="5"/>
      <c r="S11" s="5"/>
      <c r="T11" s="5"/>
      <c r="U11" s="5"/>
      <c r="V11" s="5"/>
      <c r="W11" s="5"/>
      <c r="X11" s="5"/>
      <c r="Y11" s="5"/>
      <c r="Z11" s="5"/>
      <c r="AA11" s="5"/>
    </row>
    <row r="12" spans="1:27" ht="14.25" customHeight="1">
      <c r="A12" s="23"/>
      <c r="B12" s="331"/>
      <c r="C12" s="32" t="s">
        <v>38</v>
      </c>
      <c r="D12" s="190">
        <f>C13-SUM(D9:D11)</f>
        <v>0</v>
      </c>
      <c r="E12" s="354"/>
      <c r="F12" s="356"/>
      <c r="G12" s="356"/>
      <c r="H12" s="30"/>
      <c r="I12" s="8"/>
      <c r="J12" s="27"/>
      <c r="K12" s="5"/>
      <c r="L12" s="5"/>
      <c r="M12" s="5"/>
      <c r="N12" s="5"/>
      <c r="O12" s="5"/>
      <c r="P12" s="5"/>
      <c r="Q12" s="5"/>
      <c r="R12" s="5"/>
      <c r="S12" s="5"/>
      <c r="T12" s="5"/>
      <c r="U12" s="5"/>
      <c r="V12" s="5"/>
      <c r="W12" s="5"/>
      <c r="X12" s="5"/>
      <c r="Y12" s="5"/>
      <c r="Z12" s="5"/>
      <c r="AA12" s="5"/>
    </row>
    <row r="13" spans="1:27" ht="14.25" customHeight="1">
      <c r="A13" s="33" t="s">
        <v>39</v>
      </c>
      <c r="B13" s="34">
        <f>B2</f>
        <v>1</v>
      </c>
      <c r="C13" s="358">
        <f>B3</f>
        <v>0</v>
      </c>
      <c r="D13" s="359"/>
      <c r="E13" s="191"/>
      <c r="F13" s="192"/>
      <c r="G13" s="193"/>
      <c r="H13" s="30"/>
      <c r="I13" s="8"/>
      <c r="J13" s="27"/>
      <c r="K13" s="5"/>
      <c r="L13" s="5"/>
      <c r="M13" s="5"/>
      <c r="N13" s="5"/>
      <c r="O13" s="5"/>
      <c r="P13" s="5"/>
      <c r="Q13" s="5"/>
      <c r="R13" s="5"/>
      <c r="S13" s="5"/>
      <c r="T13" s="5"/>
      <c r="U13" s="5"/>
      <c r="V13" s="5"/>
      <c r="W13" s="5"/>
      <c r="X13" s="5"/>
      <c r="Y13" s="5"/>
      <c r="Z13" s="5"/>
      <c r="AA13" s="5"/>
    </row>
    <row r="14" spans="1:27" ht="14.25" customHeight="1">
      <c r="A14" s="35" t="s">
        <v>40</v>
      </c>
      <c r="B14" s="36">
        <f t="shared" ref="B14:C14" si="0">B13*$B$6</f>
        <v>7000</v>
      </c>
      <c r="C14" s="360">
        <f t="shared" si="0"/>
        <v>0</v>
      </c>
      <c r="D14" s="361"/>
      <c r="E14" s="194"/>
      <c r="F14" s="195"/>
      <c r="G14" s="196"/>
      <c r="H14" s="37"/>
      <c r="I14" s="8"/>
      <c r="J14" s="38"/>
      <c r="K14" s="5"/>
      <c r="L14" s="5"/>
      <c r="M14" s="5"/>
      <c r="N14" s="5"/>
      <c r="O14" s="5"/>
      <c r="P14" s="5"/>
      <c r="Q14" s="5"/>
      <c r="R14" s="5"/>
      <c r="S14" s="5"/>
      <c r="T14" s="5"/>
      <c r="U14" s="5"/>
      <c r="V14" s="5"/>
      <c r="W14" s="5"/>
      <c r="X14" s="5"/>
      <c r="Y14" s="5"/>
      <c r="Z14" s="5"/>
      <c r="AA14" s="5"/>
    </row>
    <row r="15" spans="1:27" ht="14.25" customHeight="1">
      <c r="A15" s="39" t="s">
        <v>41</v>
      </c>
      <c r="B15" s="40">
        <f t="shared" ref="B15:C15" si="1">0.9*B14</f>
        <v>6300</v>
      </c>
      <c r="C15" s="362">
        <f t="shared" si="1"/>
        <v>0</v>
      </c>
      <c r="D15" s="363"/>
      <c r="E15" s="194"/>
      <c r="F15" s="195"/>
      <c r="G15" s="197"/>
      <c r="H15" s="37"/>
      <c r="I15" s="8"/>
      <c r="J15" s="38"/>
      <c r="K15" s="5"/>
      <c r="L15" s="5"/>
      <c r="M15" s="5"/>
      <c r="N15" s="5"/>
      <c r="O15" s="5"/>
      <c r="P15" s="5"/>
      <c r="Q15" s="5"/>
      <c r="R15" s="5"/>
      <c r="S15" s="5"/>
      <c r="T15" s="5"/>
      <c r="U15" s="5"/>
      <c r="V15" s="5"/>
      <c r="W15" s="5"/>
      <c r="X15" s="5"/>
      <c r="Y15" s="5"/>
      <c r="Z15" s="5"/>
      <c r="AA15" s="5"/>
    </row>
    <row r="16" spans="1:27" ht="14.25" customHeight="1">
      <c r="A16" s="41" t="s">
        <v>42</v>
      </c>
      <c r="B16" s="42">
        <f t="shared" ref="B16:C16" si="2">ROUND(B15*75/70,0)</f>
        <v>6750</v>
      </c>
      <c r="C16" s="364">
        <f t="shared" si="2"/>
        <v>0</v>
      </c>
      <c r="D16" s="365"/>
      <c r="E16" s="194"/>
      <c r="F16" s="195"/>
      <c r="G16" s="197"/>
      <c r="H16" s="37"/>
      <c r="I16" s="8"/>
      <c r="J16" s="38"/>
      <c r="K16" s="5"/>
      <c r="L16" s="5"/>
      <c r="M16" s="5"/>
      <c r="N16" s="5"/>
      <c r="O16" s="5"/>
      <c r="P16" s="5"/>
      <c r="Q16" s="5"/>
      <c r="R16" s="5"/>
      <c r="S16" s="5"/>
      <c r="T16" s="5"/>
      <c r="U16" s="5"/>
      <c r="V16" s="5"/>
      <c r="W16" s="5"/>
      <c r="X16" s="5"/>
      <c r="Y16" s="5"/>
      <c r="Z16" s="5"/>
      <c r="AA16" s="5"/>
    </row>
    <row r="17" spans="1:27" ht="14.25" customHeight="1">
      <c r="A17" s="43" t="s">
        <v>43</v>
      </c>
      <c r="B17" s="44">
        <v>250</v>
      </c>
      <c r="C17" s="366" t="str">
        <f>IF($C$13=0,0,ROUND((350*D9+275*SUM(D10:D12))/C13,0))&amp;" € (350 € BRS et 275 € autres produits)"</f>
        <v>0 € (350 € BRS et 275 € autres produits)</v>
      </c>
      <c r="D17" s="329"/>
      <c r="E17" s="198"/>
      <c r="F17" s="199"/>
      <c r="G17" s="193"/>
      <c r="H17" s="37"/>
      <c r="I17" s="8"/>
      <c r="J17" s="38"/>
      <c r="K17" s="5"/>
      <c r="L17" s="5"/>
      <c r="M17" s="5"/>
      <c r="N17" s="5"/>
      <c r="O17" s="5"/>
      <c r="P17" s="5"/>
      <c r="Q17" s="5"/>
      <c r="R17" s="5"/>
      <c r="S17" s="5"/>
      <c r="T17" s="5"/>
      <c r="U17" s="5"/>
      <c r="V17" s="5"/>
      <c r="W17" s="5"/>
      <c r="X17" s="5"/>
      <c r="Y17" s="5"/>
      <c r="Z17" s="5"/>
      <c r="AA17" s="5"/>
    </row>
    <row r="18" spans="1:27" ht="14.25" customHeight="1">
      <c r="A18" s="43" t="s">
        <v>44</v>
      </c>
      <c r="B18" s="45">
        <f t="shared" ref="B18:C18" si="3">B13*$B$7</f>
        <v>100</v>
      </c>
      <c r="C18" s="328">
        <f t="shared" si="3"/>
        <v>0</v>
      </c>
      <c r="D18" s="329"/>
      <c r="E18" s="200"/>
      <c r="F18" s="201"/>
      <c r="G18" s="193"/>
      <c r="H18" s="30"/>
      <c r="I18" s="46"/>
      <c r="J18" s="47"/>
      <c r="K18" s="5"/>
      <c r="L18" s="5"/>
      <c r="M18" s="5"/>
      <c r="N18" s="5"/>
      <c r="O18" s="5"/>
      <c r="P18" s="5"/>
      <c r="Q18" s="5"/>
      <c r="R18" s="5"/>
      <c r="S18" s="5"/>
      <c r="T18" s="5"/>
      <c r="U18" s="5"/>
      <c r="V18" s="5"/>
      <c r="W18" s="5"/>
      <c r="X18" s="5"/>
      <c r="Y18" s="5"/>
      <c r="Z18" s="5"/>
      <c r="AA18" s="5"/>
    </row>
    <row r="19" spans="1:27" ht="14.25" customHeight="1">
      <c r="A19" s="43" t="s">
        <v>45</v>
      </c>
      <c r="B19" s="45">
        <f>ROUND(B18*0.5,0)</f>
        <v>50</v>
      </c>
      <c r="C19" s="328">
        <f>ROUND(C18*0.7,0)</f>
        <v>0</v>
      </c>
      <c r="D19" s="329"/>
      <c r="E19" s="200"/>
      <c r="F19" s="201"/>
      <c r="G19" s="193"/>
      <c r="H19" s="30"/>
      <c r="I19" s="46"/>
      <c r="J19" s="47"/>
      <c r="K19" s="5"/>
      <c r="L19" s="5"/>
      <c r="M19" s="5"/>
      <c r="N19" s="5"/>
      <c r="O19" s="5"/>
      <c r="P19" s="5"/>
      <c r="Q19" s="5"/>
      <c r="R19" s="5"/>
      <c r="S19" s="5"/>
      <c r="T19" s="5"/>
      <c r="U19" s="5"/>
      <c r="V19" s="5"/>
      <c r="W19" s="5"/>
      <c r="X19" s="5"/>
      <c r="Y19" s="5"/>
      <c r="Z19" s="5"/>
      <c r="AA19" s="5"/>
    </row>
    <row r="20" spans="1:27">
      <c r="A20" s="330" t="s">
        <v>46</v>
      </c>
      <c r="B20" s="226"/>
      <c r="C20" s="332" t="s">
        <v>136</v>
      </c>
      <c r="D20" s="333"/>
      <c r="E20" s="202"/>
      <c r="F20" s="203"/>
      <c r="G20" s="193"/>
      <c r="H20" s="30"/>
      <c r="I20" s="46"/>
      <c r="J20" s="47"/>
      <c r="K20" s="5"/>
      <c r="L20" s="5"/>
      <c r="M20" s="5"/>
      <c r="N20" s="5"/>
      <c r="O20" s="5"/>
      <c r="P20" s="5"/>
      <c r="Q20" s="5"/>
      <c r="R20" s="5"/>
      <c r="S20" s="5"/>
      <c r="T20" s="5"/>
      <c r="U20" s="5"/>
      <c r="V20" s="5"/>
      <c r="W20" s="5"/>
      <c r="X20" s="5"/>
      <c r="Y20" s="5"/>
      <c r="Z20" s="5"/>
      <c r="AA20" s="5"/>
    </row>
    <row r="21" spans="1:27" ht="45" customHeight="1">
      <c r="A21" s="331"/>
      <c r="B21" s="227"/>
      <c r="C21" s="334"/>
      <c r="D21" s="335"/>
      <c r="E21" s="204"/>
      <c r="F21" s="205"/>
      <c r="G21" s="206"/>
      <c r="H21" s="5"/>
      <c r="I21" s="5"/>
      <c r="J21" s="5"/>
      <c r="K21" s="5"/>
      <c r="L21" s="5"/>
      <c r="M21" s="5"/>
      <c r="N21" s="5"/>
      <c r="O21" s="5"/>
      <c r="P21" s="5"/>
      <c r="Q21" s="5"/>
      <c r="R21" s="5"/>
      <c r="S21" s="5"/>
      <c r="T21" s="5"/>
      <c r="U21" s="5"/>
      <c r="V21" s="5"/>
      <c r="W21" s="5"/>
      <c r="X21" s="5"/>
      <c r="Y21" s="5"/>
      <c r="Z21" s="5"/>
      <c r="AA21" s="5"/>
    </row>
    <row r="22" spans="1:27" ht="14.25" customHeight="1">
      <c r="A22" s="5"/>
      <c r="B22" s="5"/>
      <c r="C22" s="5"/>
      <c r="D22" s="5"/>
      <c r="E22" s="5"/>
      <c r="F22" s="112"/>
      <c r="G22" s="112"/>
    </row>
    <row r="23" spans="1:27" ht="21">
      <c r="A23" s="299" t="s">
        <v>47</v>
      </c>
      <c r="B23" s="299"/>
      <c r="C23" s="299"/>
      <c r="D23" s="299"/>
      <c r="E23" s="299"/>
      <c r="F23" s="299"/>
      <c r="G23" s="299"/>
      <c r="H23" s="114"/>
      <c r="I23" s="114"/>
      <c r="J23" s="114"/>
      <c r="K23" s="114"/>
      <c r="L23" s="114"/>
      <c r="M23" s="114"/>
      <c r="N23" s="114"/>
      <c r="O23" s="114"/>
      <c r="P23" s="114"/>
      <c r="Q23" s="114"/>
      <c r="R23" s="114"/>
      <c r="S23" s="114"/>
      <c r="T23" s="114"/>
      <c r="U23" s="114"/>
      <c r="V23" s="114"/>
      <c r="W23" s="114"/>
      <c r="X23" s="114"/>
      <c r="Y23" s="114"/>
      <c r="Z23" s="114"/>
    </row>
    <row r="24" spans="1:27" ht="33.75" customHeight="1">
      <c r="A24" s="48" t="s">
        <v>48</v>
      </c>
      <c r="B24" s="49" t="s">
        <v>49</v>
      </c>
      <c r="C24" s="50" t="s">
        <v>50</v>
      </c>
      <c r="D24" s="50" t="s">
        <v>51</v>
      </c>
      <c r="E24" s="336" t="s">
        <v>52</v>
      </c>
      <c r="F24" s="337"/>
      <c r="G24" s="338"/>
    </row>
    <row r="25" spans="1:27" ht="32.25">
      <c r="A25" s="51" t="s">
        <v>53</v>
      </c>
      <c r="B25" s="151" t="s">
        <v>142</v>
      </c>
      <c r="C25" s="53"/>
      <c r="D25" s="147" t="s">
        <v>54</v>
      </c>
      <c r="E25" s="339"/>
      <c r="F25" s="340"/>
      <c r="G25" s="341"/>
    </row>
    <row r="26" spans="1:27">
      <c r="A26" s="54" t="s">
        <v>55</v>
      </c>
      <c r="B26" s="55"/>
      <c r="C26" s="56"/>
      <c r="D26" s="54"/>
      <c r="E26" s="57"/>
      <c r="F26" s="57"/>
      <c r="G26" s="57"/>
    </row>
    <row r="27" spans="1:27" ht="30">
      <c r="A27" s="58" t="s">
        <v>56</v>
      </c>
      <c r="B27" s="59" t="s">
        <v>57</v>
      </c>
      <c r="C27" s="60"/>
      <c r="D27" s="147" t="s">
        <v>54</v>
      </c>
      <c r="E27" s="293"/>
      <c r="F27" s="294"/>
      <c r="G27" s="295"/>
    </row>
    <row r="28" spans="1:27" ht="24">
      <c r="A28" s="61" t="s">
        <v>58</v>
      </c>
      <c r="B28" s="62" t="s">
        <v>59</v>
      </c>
      <c r="C28" s="153" t="s">
        <v>146</v>
      </c>
      <c r="D28" s="147" t="s">
        <v>54</v>
      </c>
      <c r="E28" s="296"/>
      <c r="F28" s="297"/>
      <c r="G28" s="298"/>
    </row>
    <row r="29" spans="1:27" ht="24">
      <c r="A29" s="61" t="s">
        <v>60</v>
      </c>
      <c r="B29" s="62" t="s">
        <v>59</v>
      </c>
      <c r="C29" s="153" t="s">
        <v>147</v>
      </c>
      <c r="D29" s="147" t="s">
        <v>54</v>
      </c>
      <c r="E29" s="296"/>
      <c r="F29" s="297"/>
      <c r="G29" s="298"/>
    </row>
    <row r="30" spans="1:27" ht="30">
      <c r="A30" s="63" t="s">
        <v>61</v>
      </c>
      <c r="B30" s="64" t="s">
        <v>62</v>
      </c>
      <c r="C30" s="154" t="s">
        <v>148</v>
      </c>
      <c r="D30" s="147" t="s">
        <v>54</v>
      </c>
      <c r="E30" s="322"/>
      <c r="F30" s="323"/>
      <c r="G30" s="324"/>
    </row>
    <row r="31" spans="1:27">
      <c r="A31" s="65" t="s">
        <v>63</v>
      </c>
      <c r="B31" s="66"/>
      <c r="C31" s="67"/>
      <c r="D31" s="68"/>
      <c r="E31" s="69"/>
      <c r="F31" s="69"/>
      <c r="G31" s="69"/>
    </row>
    <row r="32" spans="1:27" ht="36">
      <c r="A32" s="149" t="s">
        <v>140</v>
      </c>
      <c r="B32" s="70" t="s">
        <v>64</v>
      </c>
      <c r="C32" s="71" t="s">
        <v>65</v>
      </c>
      <c r="D32" s="147" t="s">
        <v>54</v>
      </c>
      <c r="E32" s="325"/>
      <c r="F32" s="326"/>
      <c r="G32" s="327"/>
    </row>
    <row r="33" spans="1:27" ht="30">
      <c r="A33" s="61" t="s">
        <v>66</v>
      </c>
      <c r="B33" s="72" t="s">
        <v>67</v>
      </c>
      <c r="C33" s="73" t="s">
        <v>68</v>
      </c>
      <c r="D33" s="147" t="s">
        <v>54</v>
      </c>
      <c r="E33" s="296"/>
      <c r="F33" s="297"/>
      <c r="G33" s="298"/>
    </row>
    <row r="34" spans="1:27" ht="30">
      <c r="A34" s="63" t="s">
        <v>69</v>
      </c>
      <c r="B34" s="52" t="s">
        <v>70</v>
      </c>
      <c r="C34" s="53"/>
      <c r="D34" s="147" t="s">
        <v>54</v>
      </c>
      <c r="E34" s="296"/>
      <c r="F34" s="297"/>
      <c r="G34" s="298"/>
    </row>
    <row r="35" spans="1:27">
      <c r="A35" s="74" t="s">
        <v>71</v>
      </c>
      <c r="B35" s="75"/>
      <c r="C35" s="76"/>
      <c r="D35" s="74"/>
      <c r="E35" s="77"/>
      <c r="F35" s="77"/>
      <c r="G35" s="77"/>
    </row>
    <row r="36" spans="1:27" ht="23.25">
      <c r="A36" s="308" t="s">
        <v>72</v>
      </c>
      <c r="B36" s="309" t="s">
        <v>73</v>
      </c>
      <c r="C36" s="152" t="s">
        <v>143</v>
      </c>
      <c r="D36" s="147" t="s">
        <v>54</v>
      </c>
      <c r="E36" s="293"/>
      <c r="F36" s="294"/>
      <c r="G36" s="295"/>
    </row>
    <row r="37" spans="1:27" ht="23.25">
      <c r="A37" s="306"/>
      <c r="B37" s="306"/>
      <c r="C37" s="150" t="s">
        <v>144</v>
      </c>
      <c r="D37" s="147" t="s">
        <v>54</v>
      </c>
      <c r="E37" s="296"/>
      <c r="F37" s="297"/>
      <c r="G37" s="298"/>
    </row>
    <row r="38" spans="1:27" ht="23.25">
      <c r="A38" s="304" t="s">
        <v>74</v>
      </c>
      <c r="B38" s="307" t="s">
        <v>75</v>
      </c>
      <c r="C38" s="73" t="s">
        <v>76</v>
      </c>
      <c r="D38" s="147" t="s">
        <v>54</v>
      </c>
      <c r="E38" s="296"/>
      <c r="F38" s="297"/>
      <c r="G38" s="298"/>
    </row>
    <row r="39" spans="1:27" ht="23.25">
      <c r="A39" s="305"/>
      <c r="B39" s="305"/>
      <c r="C39" s="73" t="s">
        <v>77</v>
      </c>
      <c r="D39" s="147" t="s">
        <v>54</v>
      </c>
      <c r="E39" s="296"/>
      <c r="F39" s="297"/>
      <c r="G39" s="298"/>
    </row>
    <row r="40" spans="1:27" ht="23.25">
      <c r="A40" s="306"/>
      <c r="B40" s="306"/>
      <c r="C40" s="150" t="s">
        <v>141</v>
      </c>
      <c r="D40" s="147" t="s">
        <v>54</v>
      </c>
      <c r="E40" s="296"/>
      <c r="F40" s="297"/>
      <c r="G40" s="298"/>
    </row>
    <row r="41" spans="1:27" ht="23.25">
      <c r="A41" s="304" t="s">
        <v>78</v>
      </c>
      <c r="B41" s="148" t="s">
        <v>139</v>
      </c>
      <c r="C41" s="73" t="s">
        <v>79</v>
      </c>
      <c r="D41" s="147" t="s">
        <v>54</v>
      </c>
      <c r="E41" s="296"/>
      <c r="F41" s="297"/>
      <c r="G41" s="298"/>
    </row>
    <row r="42" spans="1:27" ht="36">
      <c r="A42" s="306"/>
      <c r="B42" s="62" t="s">
        <v>80</v>
      </c>
      <c r="C42" s="78" t="s">
        <v>81</v>
      </c>
      <c r="D42" s="147" t="s">
        <v>54</v>
      </c>
      <c r="E42" s="296"/>
      <c r="F42" s="297"/>
      <c r="G42" s="298"/>
    </row>
    <row r="43" spans="1:27" ht="14.25" customHeight="1">
      <c r="A43" s="79"/>
      <c r="B43" s="300" t="s">
        <v>145</v>
      </c>
      <c r="C43" s="301"/>
      <c r="D43" s="301"/>
      <c r="E43" s="301"/>
      <c r="F43" s="301"/>
      <c r="G43" s="301"/>
      <c r="H43" s="2"/>
      <c r="I43" s="2"/>
      <c r="J43" s="2"/>
      <c r="K43" s="2"/>
      <c r="L43" s="2"/>
      <c r="M43" s="2"/>
      <c r="N43" s="2"/>
      <c r="O43" s="2"/>
      <c r="P43" s="2"/>
      <c r="Q43" s="2"/>
      <c r="R43" s="2"/>
      <c r="S43" s="2"/>
      <c r="T43" s="2"/>
      <c r="U43" s="2"/>
      <c r="V43" s="2"/>
      <c r="W43" s="2"/>
      <c r="X43" s="2"/>
      <c r="Y43" s="2"/>
      <c r="Z43" s="2"/>
      <c r="AA43" s="2"/>
    </row>
    <row r="44" spans="1:27" ht="14.25" customHeight="1">
      <c r="A44" s="83"/>
      <c r="B44" s="82"/>
      <c r="C44" s="80"/>
      <c r="D44" s="81"/>
      <c r="E44" s="80"/>
      <c r="F44" s="80"/>
      <c r="G44" s="80"/>
    </row>
    <row r="45" spans="1:27" ht="21">
      <c r="A45" s="299" t="s">
        <v>166</v>
      </c>
      <c r="B45" s="299"/>
      <c r="C45" s="299"/>
      <c r="D45" s="299"/>
      <c r="E45" s="299"/>
      <c r="F45" s="299"/>
      <c r="G45" s="299"/>
      <c r="H45" s="114"/>
      <c r="I45" s="114"/>
      <c r="J45" s="114"/>
      <c r="K45" s="114"/>
      <c r="L45" s="114"/>
      <c r="M45" s="114"/>
      <c r="N45" s="114"/>
      <c r="O45" s="114"/>
      <c r="P45" s="114"/>
      <c r="Q45" s="114"/>
      <c r="R45" s="114"/>
      <c r="S45" s="114"/>
      <c r="T45" s="114"/>
      <c r="U45" s="114"/>
      <c r="V45" s="114"/>
      <c r="W45" s="114"/>
      <c r="X45" s="114"/>
      <c r="Y45" s="114"/>
      <c r="Z45" s="114"/>
    </row>
    <row r="46" spans="1:27" ht="14.25" customHeight="1">
      <c r="A46" s="3" t="s">
        <v>167</v>
      </c>
      <c r="B46" s="3"/>
      <c r="C46" s="84" t="s">
        <v>82</v>
      </c>
      <c r="D46" s="84" t="s">
        <v>83</v>
      </c>
      <c r="E46" s="84" t="s">
        <v>84</v>
      </c>
      <c r="F46" s="84" t="s">
        <v>85</v>
      </c>
      <c r="G46" s="3" t="s">
        <v>34</v>
      </c>
    </row>
    <row r="47" spans="1:27" ht="14.25" customHeight="1">
      <c r="A47" s="113" t="s">
        <v>86</v>
      </c>
      <c r="B47" s="85"/>
      <c r="C47" s="85"/>
      <c r="D47" s="85"/>
      <c r="E47" s="86">
        <f>E48+E53</f>
        <v>1750000</v>
      </c>
      <c r="F47" s="86">
        <f>F48+F53</f>
        <v>1846250</v>
      </c>
      <c r="G47" s="207">
        <f>F47/$F$64</f>
        <v>1</v>
      </c>
      <c r="H47" s="1"/>
      <c r="I47" s="1"/>
      <c r="J47" s="1"/>
      <c r="K47" s="1"/>
      <c r="L47" s="1"/>
      <c r="M47" s="1"/>
      <c r="N47" s="1"/>
      <c r="O47" s="1"/>
      <c r="P47" s="1"/>
      <c r="Q47" s="1"/>
      <c r="R47" s="1"/>
      <c r="S47" s="1"/>
      <c r="T47" s="1"/>
      <c r="U47" s="1"/>
      <c r="V47" s="1"/>
      <c r="W47" s="1"/>
      <c r="X47" s="1"/>
      <c r="Y47" s="1"/>
      <c r="Z47" s="1"/>
      <c r="AA47" s="1"/>
    </row>
    <row r="48" spans="1:27" ht="14.25" customHeight="1">
      <c r="A48" s="285" t="s">
        <v>87</v>
      </c>
      <c r="B48" s="285"/>
      <c r="C48" s="87"/>
      <c r="D48" s="4"/>
      <c r="E48" s="88">
        <f>SUM(E49:E52)</f>
        <v>1750000</v>
      </c>
      <c r="F48" s="88">
        <f>SUM(F49:F52)</f>
        <v>1846250</v>
      </c>
      <c r="G48" s="89"/>
      <c r="H48" s="90"/>
      <c r="I48" s="90"/>
      <c r="J48" s="90"/>
      <c r="K48" s="90"/>
      <c r="L48" s="90"/>
      <c r="M48" s="90"/>
      <c r="N48" s="90"/>
      <c r="O48" s="90"/>
      <c r="P48" s="90"/>
      <c r="Q48" s="90"/>
      <c r="R48" s="90"/>
      <c r="S48" s="90"/>
      <c r="T48" s="90"/>
      <c r="U48" s="90"/>
      <c r="V48" s="90"/>
      <c r="W48" s="90"/>
      <c r="X48" s="90"/>
      <c r="Y48" s="90"/>
      <c r="Z48" s="90"/>
      <c r="AA48" s="90"/>
    </row>
    <row r="49" spans="1:27" ht="14.25" customHeight="1">
      <c r="A49" s="316" t="s">
        <v>88</v>
      </c>
      <c r="B49" s="316"/>
      <c r="C49" s="155">
        <f>B17</f>
        <v>250</v>
      </c>
      <c r="D49" s="156">
        <f>B13*$B$6</f>
        <v>7000</v>
      </c>
      <c r="E49" s="157">
        <f t="shared" ref="E49:E53" si="4">C49*D49</f>
        <v>1750000</v>
      </c>
      <c r="F49" s="157">
        <f t="shared" ref="F49:F50" si="5">E49*1.055</f>
        <v>1846250</v>
      </c>
      <c r="G49" s="158" t="s">
        <v>89</v>
      </c>
      <c r="H49" s="91"/>
      <c r="I49" s="91"/>
      <c r="J49" s="91"/>
      <c r="K49" s="91"/>
      <c r="L49" s="91"/>
      <c r="M49" s="91"/>
      <c r="N49" s="91"/>
      <c r="O49" s="91"/>
      <c r="P49" s="91"/>
      <c r="Q49" s="91"/>
      <c r="R49" s="91"/>
      <c r="S49" s="91"/>
      <c r="T49" s="91"/>
      <c r="U49" s="91"/>
      <c r="V49" s="91"/>
      <c r="W49" s="91"/>
      <c r="X49" s="91"/>
      <c r="Y49" s="91"/>
      <c r="Z49" s="91"/>
      <c r="AA49" s="91"/>
    </row>
    <row r="50" spans="1:27" ht="14.25" customHeight="1">
      <c r="A50" s="316" t="s">
        <v>35</v>
      </c>
      <c r="B50" s="317"/>
      <c r="C50" s="155">
        <v>350</v>
      </c>
      <c r="D50" s="156">
        <f>D9*$B$6</f>
        <v>0</v>
      </c>
      <c r="E50" s="159">
        <f t="shared" si="4"/>
        <v>0</v>
      </c>
      <c r="F50" s="159">
        <f t="shared" si="5"/>
        <v>0</v>
      </c>
      <c r="G50" s="158" t="s">
        <v>89</v>
      </c>
      <c r="H50" s="13"/>
      <c r="I50" s="13"/>
      <c r="J50" s="13"/>
      <c r="K50" s="13"/>
      <c r="L50" s="13"/>
      <c r="M50" s="13"/>
      <c r="N50" s="13"/>
      <c r="O50" s="13"/>
      <c r="P50" s="13"/>
      <c r="Q50" s="13"/>
      <c r="R50" s="13"/>
      <c r="S50" s="13"/>
      <c r="T50" s="13"/>
      <c r="U50" s="13"/>
      <c r="V50" s="13"/>
      <c r="W50" s="13"/>
      <c r="X50" s="13"/>
      <c r="Y50" s="13"/>
      <c r="Z50" s="13"/>
      <c r="AA50" s="13"/>
    </row>
    <row r="51" spans="1:27" ht="14.25" customHeight="1">
      <c r="A51" s="316" t="s">
        <v>90</v>
      </c>
      <c r="B51" s="317"/>
      <c r="C51" s="155">
        <v>275</v>
      </c>
      <c r="D51" s="156">
        <f>SUM(D10:D12)*B6</f>
        <v>0</v>
      </c>
      <c r="E51" s="157">
        <f t="shared" si="4"/>
        <v>0</v>
      </c>
      <c r="F51" s="157">
        <f>IF(SUM($D$10:$D$12)=0,0,E51*(1.055*SUM($D$10:$D$11)+1.2*$D$12)/SUM($D$10:$D$12))</f>
        <v>0</v>
      </c>
      <c r="G51" s="158" t="str">
        <f>"TVA moyenne de "&amp;IF(E51=0,0,ROUND((F51/E51-1)*100,2))&amp;" % (prorata SDP)"</f>
        <v>TVA moyenne de 0 % (prorata SDP)</v>
      </c>
      <c r="H51" s="91"/>
      <c r="I51" s="91"/>
      <c r="J51" s="91"/>
      <c r="K51" s="91"/>
      <c r="L51" s="91"/>
      <c r="M51" s="91"/>
      <c r="N51" s="91"/>
      <c r="O51" s="91"/>
      <c r="P51" s="91"/>
      <c r="Q51" s="91"/>
      <c r="R51" s="91"/>
      <c r="S51" s="91"/>
      <c r="T51" s="91"/>
      <c r="U51" s="91"/>
      <c r="V51" s="91"/>
      <c r="W51" s="91"/>
      <c r="X51" s="91"/>
      <c r="Y51" s="91"/>
      <c r="Z51" s="91"/>
      <c r="AA51" s="91"/>
    </row>
    <row r="52" spans="1:27" ht="14.25" customHeight="1">
      <c r="A52" s="318" t="s">
        <v>7</v>
      </c>
      <c r="B52" s="319"/>
      <c r="C52" s="160">
        <v>1600</v>
      </c>
      <c r="D52" s="161">
        <f>D57</f>
        <v>0</v>
      </c>
      <c r="E52" s="162">
        <f t="shared" si="4"/>
        <v>0</v>
      </c>
      <c r="F52" s="163">
        <f>IF($C$13=0,E52*(1.2*($E$19+$F$19)+1.055*$B$19)/($B$19+$E$19+$F$19),E52*(1.2*($E$19+$F$19+$C$19*$D$12/$C$13)+1.055*($B$19+$C$19*SUM($D$9:$D$11)/$C$13))/($B$19+$C$19+$E$19+$F$19))</f>
        <v>0</v>
      </c>
      <c r="G52" s="164" t="str">
        <f>"TVA moyenne de "&amp;IF(E52=0,"",ROUND((F52/E52-1)*100,2))&amp;" % (prorata nb places)"</f>
        <v>TVA moyenne de  % (prorata nb places)</v>
      </c>
      <c r="H52" s="91"/>
      <c r="I52" s="91"/>
      <c r="J52" s="91"/>
      <c r="K52" s="91"/>
      <c r="L52" s="91"/>
      <c r="M52" s="91"/>
      <c r="N52" s="91"/>
      <c r="O52" s="91"/>
      <c r="P52" s="91"/>
      <c r="Q52" s="91"/>
      <c r="R52" s="91"/>
      <c r="S52" s="91"/>
      <c r="T52" s="91"/>
      <c r="U52" s="91"/>
      <c r="V52" s="91"/>
      <c r="W52" s="91"/>
      <c r="X52" s="91"/>
      <c r="Y52" s="91"/>
      <c r="Z52" s="91"/>
      <c r="AA52" s="91"/>
    </row>
    <row r="53" spans="1:27" ht="14.25" customHeight="1">
      <c r="A53" s="320" t="s">
        <v>92</v>
      </c>
      <c r="B53" s="321"/>
      <c r="C53" s="108"/>
      <c r="D53" s="92">
        <f>SUM(B19:E19)-D57</f>
        <v>50</v>
      </c>
      <c r="E53" s="93">
        <f t="shared" si="4"/>
        <v>0</v>
      </c>
      <c r="F53" s="93">
        <f>E53*1.2</f>
        <v>0</v>
      </c>
      <c r="G53" s="7"/>
    </row>
    <row r="54" spans="1:27" ht="14.25" customHeight="1">
      <c r="A54" s="85" t="s">
        <v>93</v>
      </c>
      <c r="B54" s="85"/>
      <c r="C54" s="104"/>
      <c r="D54" s="104"/>
      <c r="E54" s="86">
        <f t="shared" ref="E54:F54" si="6">E56+E57+E55</f>
        <v>0</v>
      </c>
      <c r="F54" s="86">
        <f t="shared" si="6"/>
        <v>0</v>
      </c>
      <c r="G54" s="207">
        <f>F54/$F$64</f>
        <v>0</v>
      </c>
      <c r="H54" s="1"/>
      <c r="I54" s="1"/>
      <c r="J54" s="1"/>
      <c r="K54" s="1"/>
      <c r="L54" s="1"/>
      <c r="M54" s="1"/>
      <c r="N54" s="1"/>
      <c r="O54" s="1"/>
      <c r="P54" s="1"/>
      <c r="Q54" s="1"/>
      <c r="R54" s="1"/>
      <c r="S54" s="1"/>
      <c r="T54" s="1"/>
      <c r="U54" s="1"/>
      <c r="V54" s="1"/>
      <c r="W54" s="1"/>
      <c r="X54" s="1"/>
      <c r="Y54" s="1"/>
      <c r="Z54" s="1"/>
      <c r="AA54" s="1"/>
    </row>
    <row r="55" spans="1:27" ht="14.25" customHeight="1">
      <c r="A55" s="310" t="s">
        <v>94</v>
      </c>
      <c r="B55" s="310"/>
      <c r="C55" s="109">
        <v>0</v>
      </c>
      <c r="D55" s="96">
        <f>SUM(B15:E15)</f>
        <v>6300</v>
      </c>
      <c r="E55" s="97">
        <f>D55*C55</f>
        <v>0</v>
      </c>
      <c r="F55" s="175">
        <f>IF($C$13=0,E55*(1.055*$B$14)/$B$6,E55*(1.2*($C$14*$D$12/$C$13)+1.055*($B$14+$C$14*SUM($D$9:$D$11)/$C$13))/$B$6)</f>
        <v>0</v>
      </c>
      <c r="G55" s="179" t="str">
        <f>"TVA moyenne de "&amp;IF(E55=0,"",ROUND((F55/E55-1)*100,2))&amp;" % (prorata SDP)"</f>
        <v>TVA moyenne de  % (prorata SDP)</v>
      </c>
      <c r="H55" s="95"/>
      <c r="I55" s="95"/>
      <c r="J55" s="95"/>
      <c r="K55" s="95"/>
      <c r="L55" s="95"/>
      <c r="M55" s="95"/>
      <c r="N55" s="95"/>
      <c r="O55" s="95"/>
      <c r="P55" s="95"/>
      <c r="Q55" s="95"/>
      <c r="R55" s="95"/>
      <c r="S55" s="95"/>
      <c r="T55" s="95"/>
      <c r="U55" s="95"/>
      <c r="V55" s="95"/>
      <c r="W55" s="95"/>
      <c r="X55" s="95"/>
      <c r="Y55" s="95"/>
      <c r="Z55" s="95"/>
      <c r="AA55" s="95"/>
    </row>
    <row r="56" spans="1:27" ht="14.25" customHeight="1">
      <c r="A56" s="286" t="s">
        <v>95</v>
      </c>
      <c r="B56" s="287"/>
      <c r="C56" s="167">
        <v>0</v>
      </c>
      <c r="D56" s="168">
        <f>SUM(B15:E15)</f>
        <v>6300</v>
      </c>
      <c r="E56" s="169">
        <f>C56*D56</f>
        <v>0</v>
      </c>
      <c r="F56" s="177">
        <f t="shared" ref="F56:F57" si="7">IF($C$13=0,E56*(1.055*$B$14)/$B$6,E56*(1.2*($C$14*$D$12/$C$13)+1.055*($B$14+$C$14*SUM($D$9:$D$11)/$C$13))/$B$6)</f>
        <v>0</v>
      </c>
      <c r="G56" s="174" t="str">
        <f>"TVA moyenne de "&amp;IF(E56=0,"",ROUND(100*(F56/E56-1),2))&amp;"% (prorata SdP)"</f>
        <v>TVA moyenne de % (prorata SdP)</v>
      </c>
    </row>
    <row r="57" spans="1:27" ht="14.25" customHeight="1">
      <c r="A57" s="310" t="s">
        <v>96</v>
      </c>
      <c r="B57" s="311"/>
      <c r="C57" s="165">
        <v>0</v>
      </c>
      <c r="D57" s="166">
        <v>0</v>
      </c>
      <c r="E57" s="97">
        <f>C57*D57</f>
        <v>0</v>
      </c>
      <c r="F57" s="176">
        <f t="shared" si="7"/>
        <v>0</v>
      </c>
      <c r="G57" s="180" t="str">
        <f>"TVA moyenne de "&amp;IF(E57=0,"",ROUND((F57/E57-1)*100,2))&amp;" % (prorata nb places)"</f>
        <v>TVA moyenne de  % (prorata nb places)</v>
      </c>
    </row>
    <row r="58" spans="1:27" ht="14.25" customHeight="1">
      <c r="A58" s="85" t="s">
        <v>97</v>
      </c>
      <c r="B58" s="85"/>
      <c r="C58" s="104"/>
      <c r="D58" s="94"/>
      <c r="E58" s="86">
        <f>SUM(E59:E63)</f>
        <v>0</v>
      </c>
      <c r="F58" s="86">
        <f t="shared" ref="F58" si="8">SUM(F59:F63)</f>
        <v>0</v>
      </c>
      <c r="G58" s="207">
        <f>F58/$F$64</f>
        <v>0</v>
      </c>
      <c r="H58" s="1"/>
      <c r="I58" s="1"/>
      <c r="J58" s="1"/>
      <c r="K58" s="1"/>
      <c r="L58" s="1"/>
      <c r="M58" s="1"/>
      <c r="N58" s="1"/>
      <c r="O58" s="1"/>
      <c r="P58" s="1"/>
      <c r="Q58" s="1"/>
      <c r="R58" s="1"/>
      <c r="S58" s="1"/>
      <c r="T58" s="1"/>
      <c r="U58" s="1"/>
      <c r="V58" s="1"/>
      <c r="W58" s="1"/>
      <c r="X58" s="1"/>
      <c r="Y58" s="1"/>
      <c r="Z58" s="1"/>
      <c r="AA58" s="1"/>
    </row>
    <row r="59" spans="1:27" ht="14.25" customHeight="1">
      <c r="A59" s="312" t="s">
        <v>98</v>
      </c>
      <c r="B59" s="313"/>
      <c r="C59" s="170">
        <v>0</v>
      </c>
      <c r="D59" s="208" t="s">
        <v>171</v>
      </c>
      <c r="E59" s="171">
        <f>C59*$E$54</f>
        <v>0</v>
      </c>
      <c r="F59" s="175">
        <f>IF($C$13=0,E59*(1.055*$B$14)/$B$6,E59*(1.2*($C$14*$D$12/$C$13)+1.055*($B$14+$C$14*SUM($D$9:$D$11)/$C$13))/$B$6)</f>
        <v>0</v>
      </c>
      <c r="G59" s="172" t="str">
        <f>"TVA moyenne de "&amp;IF(E59=0,"",ROUND(100*(F59/E59-1),2))&amp;"% (prorata SdP)"</f>
        <v>TVA moyenne de % (prorata SdP)</v>
      </c>
      <c r="H59" s="90"/>
      <c r="I59" s="90"/>
      <c r="J59" s="90"/>
      <c r="K59" s="90"/>
      <c r="L59" s="90"/>
      <c r="M59" s="90"/>
      <c r="N59" s="90"/>
      <c r="O59" s="90"/>
      <c r="P59" s="90"/>
      <c r="Q59" s="90"/>
      <c r="R59" s="90"/>
      <c r="S59" s="90"/>
      <c r="T59" s="90"/>
      <c r="U59" s="90"/>
      <c r="V59" s="90"/>
      <c r="W59" s="90"/>
      <c r="X59" s="90"/>
      <c r="Y59" s="90"/>
      <c r="Z59" s="90"/>
      <c r="AA59" s="90"/>
    </row>
    <row r="60" spans="1:27" ht="14.25" customHeight="1">
      <c r="A60" s="286" t="s">
        <v>99</v>
      </c>
      <c r="B60" s="287"/>
      <c r="C60" s="173">
        <v>0</v>
      </c>
      <c r="D60" s="209" t="s">
        <v>171</v>
      </c>
      <c r="E60" s="171">
        <f t="shared" ref="E60:E63" si="9">C60*$E$54</f>
        <v>0</v>
      </c>
      <c r="F60" s="177">
        <f t="shared" ref="F60:F63" si="10">IF($C$13=0,E60*(1.055*$B$14)/$B$6,E60*(1.2*($C$14*$D$12/$C$13)+1.055*($B$14+$C$14*SUM($D$9:$D$11)/$C$13))/$B$6)</f>
        <v>0</v>
      </c>
      <c r="G60" s="172" t="str">
        <f t="shared" ref="G60:G63" si="11">"TVA moyenne de "&amp;IF(E60=0,"",ROUND(100*(F60/E60-1),2))&amp;"% (prorata SdP)"</f>
        <v>TVA moyenne de % (prorata SdP)</v>
      </c>
      <c r="H60" s="90"/>
      <c r="I60" s="90"/>
      <c r="J60" s="90"/>
      <c r="K60" s="90"/>
      <c r="L60" s="90"/>
      <c r="M60" s="90"/>
      <c r="N60" s="90"/>
      <c r="O60" s="90"/>
      <c r="P60" s="90"/>
      <c r="Q60" s="90"/>
      <c r="R60" s="90"/>
      <c r="S60" s="90"/>
      <c r="T60" s="90"/>
      <c r="U60" s="90"/>
      <c r="V60" s="90"/>
      <c r="W60" s="90"/>
      <c r="X60" s="90"/>
      <c r="Y60" s="90"/>
      <c r="Z60" s="90"/>
      <c r="AA60" s="90"/>
    </row>
    <row r="61" spans="1:27" ht="14.25" customHeight="1">
      <c r="A61" s="286" t="s">
        <v>100</v>
      </c>
      <c r="B61" s="287"/>
      <c r="C61" s="173">
        <v>0</v>
      </c>
      <c r="D61" s="209" t="s">
        <v>171</v>
      </c>
      <c r="E61" s="171">
        <f t="shared" si="9"/>
        <v>0</v>
      </c>
      <c r="F61" s="177">
        <f t="shared" si="10"/>
        <v>0</v>
      </c>
      <c r="G61" s="172" t="str">
        <f t="shared" si="11"/>
        <v>TVA moyenne de % (prorata SdP)</v>
      </c>
      <c r="H61" s="90"/>
      <c r="I61" s="90"/>
      <c r="J61" s="90"/>
      <c r="K61" s="90"/>
      <c r="L61" s="90"/>
      <c r="M61" s="90"/>
      <c r="N61" s="90"/>
      <c r="O61" s="90"/>
      <c r="P61" s="90"/>
      <c r="Q61" s="90"/>
      <c r="R61" s="90"/>
      <c r="S61" s="90"/>
      <c r="T61" s="90"/>
      <c r="U61" s="90"/>
      <c r="V61" s="90"/>
      <c r="W61" s="90"/>
      <c r="X61" s="90"/>
      <c r="Y61" s="90"/>
      <c r="Z61" s="90"/>
      <c r="AA61" s="90"/>
    </row>
    <row r="62" spans="1:27" ht="14.25" customHeight="1">
      <c r="A62" s="286" t="s">
        <v>101</v>
      </c>
      <c r="B62" s="287"/>
      <c r="C62" s="173">
        <v>0</v>
      </c>
      <c r="D62" s="209" t="s">
        <v>171</v>
      </c>
      <c r="E62" s="171">
        <f t="shared" si="9"/>
        <v>0</v>
      </c>
      <c r="F62" s="177">
        <f t="shared" si="10"/>
        <v>0</v>
      </c>
      <c r="G62" s="172" t="str">
        <f t="shared" si="11"/>
        <v>TVA moyenne de % (prorata SdP)</v>
      </c>
      <c r="H62" s="90"/>
      <c r="I62" s="90"/>
      <c r="J62" s="90"/>
      <c r="K62" s="90"/>
      <c r="L62" s="90"/>
      <c r="M62" s="90"/>
      <c r="N62" s="90"/>
      <c r="O62" s="90"/>
      <c r="P62" s="90"/>
      <c r="Q62" s="90"/>
      <c r="R62" s="90"/>
      <c r="S62" s="90"/>
      <c r="T62" s="90"/>
      <c r="U62" s="90"/>
      <c r="V62" s="90"/>
      <c r="W62" s="90"/>
      <c r="X62" s="90"/>
      <c r="Y62" s="90"/>
      <c r="Z62" s="90"/>
      <c r="AA62" s="90"/>
    </row>
    <row r="63" spans="1:27" ht="14.25" customHeight="1">
      <c r="A63" s="288" t="s">
        <v>102</v>
      </c>
      <c r="B63" s="289"/>
      <c r="C63" s="110">
        <v>0</v>
      </c>
      <c r="D63" s="210" t="s">
        <v>171</v>
      </c>
      <c r="E63" s="171">
        <f t="shared" si="9"/>
        <v>0</v>
      </c>
      <c r="F63" s="176">
        <f t="shared" si="10"/>
        <v>0</v>
      </c>
      <c r="G63" s="98" t="str">
        <f t="shared" si="11"/>
        <v>TVA moyenne de % (prorata SdP)</v>
      </c>
      <c r="H63" s="90"/>
      <c r="I63" s="90"/>
      <c r="J63" s="90"/>
      <c r="K63" s="90"/>
      <c r="L63" s="90"/>
      <c r="M63" s="90"/>
      <c r="N63" s="90"/>
      <c r="O63" s="90"/>
      <c r="P63" s="90"/>
      <c r="Q63" s="90"/>
      <c r="R63" s="90"/>
      <c r="S63" s="90"/>
      <c r="T63" s="90"/>
      <c r="U63" s="90"/>
      <c r="V63" s="90"/>
      <c r="W63" s="90"/>
      <c r="X63" s="90"/>
      <c r="Y63" s="90"/>
      <c r="Z63" s="90"/>
      <c r="AA63" s="90"/>
    </row>
    <row r="64" spans="1:27" ht="14.25" customHeight="1">
      <c r="A64" s="99" t="s">
        <v>169</v>
      </c>
      <c r="B64" s="99"/>
      <c r="C64" s="105"/>
      <c r="D64" s="100"/>
      <c r="E64" s="101">
        <f>SUM(E47,E54,E58)</f>
        <v>1750000</v>
      </c>
      <c r="F64" s="101">
        <f>SUM(F47,F54,F58)</f>
        <v>1846250</v>
      </c>
      <c r="G64" s="102"/>
      <c r="H64" s="9"/>
      <c r="I64" s="9"/>
      <c r="J64" s="9"/>
      <c r="K64" s="9"/>
      <c r="L64" s="9"/>
      <c r="M64" s="9"/>
      <c r="N64" s="9"/>
      <c r="O64" s="9"/>
      <c r="P64" s="9"/>
      <c r="Q64" s="9"/>
      <c r="R64" s="9"/>
      <c r="S64" s="9"/>
      <c r="T64" s="9"/>
      <c r="U64" s="9"/>
      <c r="V64" s="9"/>
      <c r="W64" s="9"/>
      <c r="X64" s="9"/>
      <c r="Y64" s="9"/>
      <c r="Z64" s="9"/>
      <c r="AA64" s="9"/>
    </row>
    <row r="65" spans="1:27" ht="14.25" customHeight="1">
      <c r="A65" s="5"/>
      <c r="B65" s="5"/>
      <c r="C65" s="5"/>
      <c r="D65" s="5"/>
      <c r="E65" s="5"/>
      <c r="F65" s="5"/>
      <c r="G65" s="5"/>
    </row>
    <row r="66" spans="1:27" ht="21">
      <c r="A66" s="299" t="s">
        <v>109</v>
      </c>
      <c r="B66" s="299"/>
      <c r="C66" s="299"/>
      <c r="D66" s="299"/>
      <c r="E66" s="299"/>
      <c r="F66" s="299"/>
      <c r="G66" s="299"/>
      <c r="H66" s="114"/>
      <c r="I66" s="114"/>
      <c r="J66" s="114"/>
      <c r="K66" s="114"/>
      <c r="L66" s="114"/>
      <c r="M66" s="114"/>
      <c r="N66" s="114"/>
      <c r="O66" s="114"/>
      <c r="P66" s="114"/>
      <c r="Q66" s="114"/>
      <c r="R66" s="114"/>
      <c r="S66" s="114"/>
      <c r="T66" s="114"/>
      <c r="U66" s="114"/>
      <c r="V66" s="114"/>
      <c r="W66" s="114"/>
      <c r="X66" s="114"/>
      <c r="Y66" s="114"/>
      <c r="Z66" s="114"/>
    </row>
    <row r="67" spans="1:27" ht="44.25" customHeight="1">
      <c r="A67" s="314" t="s">
        <v>110</v>
      </c>
      <c r="B67" s="303"/>
      <c r="C67" s="290"/>
      <c r="D67" s="291"/>
      <c r="E67" s="291"/>
      <c r="F67" s="291"/>
      <c r="G67" s="292"/>
      <c r="H67" s="46"/>
      <c r="I67" s="46"/>
      <c r="J67" s="46"/>
      <c r="K67" s="46"/>
      <c r="L67" s="46"/>
      <c r="M67" s="46"/>
      <c r="N67" s="46"/>
      <c r="O67" s="46"/>
      <c r="P67" s="46"/>
      <c r="Q67" s="46"/>
      <c r="R67" s="46"/>
      <c r="S67" s="46"/>
      <c r="T67" s="46"/>
      <c r="U67" s="46"/>
      <c r="V67" s="46"/>
      <c r="W67" s="46"/>
      <c r="X67" s="46"/>
      <c r="Y67" s="46"/>
      <c r="Z67" s="46"/>
      <c r="AA67" s="46"/>
    </row>
    <row r="68" spans="1:27" ht="44.25" customHeight="1">
      <c r="A68" s="315" t="s">
        <v>170</v>
      </c>
      <c r="B68" s="303"/>
      <c r="C68" s="290"/>
      <c r="D68" s="291"/>
      <c r="E68" s="291"/>
      <c r="F68" s="291"/>
      <c r="G68" s="292"/>
      <c r="H68" s="46"/>
      <c r="I68" s="46"/>
      <c r="J68" s="46"/>
      <c r="K68" s="46"/>
      <c r="L68" s="46"/>
      <c r="M68" s="46"/>
      <c r="N68" s="46"/>
      <c r="O68" s="46"/>
      <c r="P68" s="46"/>
      <c r="Q68" s="46"/>
      <c r="R68" s="46"/>
      <c r="S68" s="46"/>
      <c r="T68" s="46"/>
      <c r="U68" s="46"/>
      <c r="V68" s="46"/>
      <c r="W68" s="46"/>
      <c r="X68" s="46"/>
      <c r="Y68" s="46"/>
      <c r="Z68" s="46"/>
      <c r="AA68" s="46"/>
    </row>
    <row r="69" spans="1:27" ht="48.75" customHeight="1">
      <c r="A69" s="302" t="s">
        <v>113</v>
      </c>
      <c r="B69" s="303"/>
      <c r="C69" s="290"/>
      <c r="D69" s="291"/>
      <c r="E69" s="291"/>
      <c r="F69" s="291"/>
      <c r="G69" s="292"/>
      <c r="H69" s="46"/>
      <c r="I69" s="46"/>
      <c r="J69" s="46"/>
      <c r="K69" s="46"/>
      <c r="L69" s="46"/>
      <c r="M69" s="46"/>
      <c r="N69" s="46"/>
      <c r="O69" s="46"/>
      <c r="P69" s="46"/>
      <c r="Q69" s="46"/>
      <c r="R69" s="46"/>
      <c r="S69" s="46"/>
      <c r="T69" s="46"/>
      <c r="U69" s="46"/>
      <c r="V69" s="46"/>
      <c r="W69" s="46"/>
      <c r="X69" s="46"/>
      <c r="Y69" s="46"/>
      <c r="Z69" s="46"/>
      <c r="AA69" s="46"/>
    </row>
    <row r="70" spans="1:27" ht="44.25" customHeight="1">
      <c r="A70" s="302" t="s">
        <v>114</v>
      </c>
      <c r="B70" s="303"/>
      <c r="C70" s="290"/>
      <c r="D70" s="291"/>
      <c r="E70" s="291"/>
      <c r="F70" s="291"/>
      <c r="G70" s="292"/>
      <c r="H70" s="46"/>
      <c r="I70" s="46"/>
      <c r="J70" s="46"/>
      <c r="K70" s="46"/>
      <c r="L70" s="46"/>
      <c r="M70" s="46"/>
      <c r="N70" s="46"/>
      <c r="O70" s="46"/>
      <c r="P70" s="46"/>
      <c r="Q70" s="46"/>
      <c r="R70" s="46"/>
      <c r="S70" s="46"/>
      <c r="T70" s="46"/>
      <c r="U70" s="46"/>
      <c r="V70" s="46"/>
      <c r="W70" s="46"/>
      <c r="X70" s="46"/>
      <c r="Y70" s="46"/>
      <c r="Z70" s="46"/>
      <c r="AA70" s="46"/>
    </row>
    <row r="71" spans="1:27" ht="14.25" customHeight="1"/>
    <row r="72" spans="1:27" ht="14.25" customHeight="1"/>
    <row r="73" spans="1:27" ht="14.25" customHeight="1"/>
    <row r="74" spans="1:27" ht="14.25" customHeight="1"/>
    <row r="75" spans="1:27" ht="14.25" customHeight="1"/>
    <row r="76" spans="1:27" ht="14.25" customHeight="1"/>
    <row r="77" spans="1:27" ht="14.25" customHeight="1"/>
    <row r="78" spans="1:27" ht="14.25" customHeight="1"/>
    <row r="79" spans="1:27" ht="14.25" customHeight="1"/>
    <row r="80" spans="1:27"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sheetData>
  <sheetProtection algorithmName="SHA-512" hashValue="+GKTVSaDQCsscxNM/+XGJ3tKQIBALdTIuS1e7ExviY77HCWVB8hbCKk7LA4s+S8WnCYzqlZkGc54Tl3+KAS75w==" saltValue="JGPpaJxYZBcec4k2KzhLVg==" spinCount="100000" sheet="1" objects="1" scenarios="1"/>
  <mergeCells count="65">
    <mergeCell ref="C1:D1"/>
    <mergeCell ref="C2:D3"/>
    <mergeCell ref="C8:D8"/>
    <mergeCell ref="A5:G5"/>
    <mergeCell ref="A66:G66"/>
    <mergeCell ref="E2:E3"/>
    <mergeCell ref="B8:B12"/>
    <mergeCell ref="E8:E12"/>
    <mergeCell ref="F8:F12"/>
    <mergeCell ref="G8:G12"/>
    <mergeCell ref="C13:D13"/>
    <mergeCell ref="C14:D14"/>
    <mergeCell ref="C15:D15"/>
    <mergeCell ref="C16:D16"/>
    <mergeCell ref="C17:D17"/>
    <mergeCell ref="C18:D18"/>
    <mergeCell ref="C19:D19"/>
    <mergeCell ref="A20:A21"/>
    <mergeCell ref="C20:D21"/>
    <mergeCell ref="E24:G24"/>
    <mergeCell ref="E25:G25"/>
    <mergeCell ref="A23:G23"/>
    <mergeCell ref="E27:G27"/>
    <mergeCell ref="E28:G28"/>
    <mergeCell ref="E29:G29"/>
    <mergeCell ref="E30:G30"/>
    <mergeCell ref="E32:G32"/>
    <mergeCell ref="C69:G69"/>
    <mergeCell ref="A69:B69"/>
    <mergeCell ref="A57:B57"/>
    <mergeCell ref="A59:B59"/>
    <mergeCell ref="A67:B67"/>
    <mergeCell ref="A68:B68"/>
    <mergeCell ref="A41:A42"/>
    <mergeCell ref="E33:G33"/>
    <mergeCell ref="E34:G34"/>
    <mergeCell ref="A36:A37"/>
    <mergeCell ref="B36:B37"/>
    <mergeCell ref="A63:B63"/>
    <mergeCell ref="C70:G70"/>
    <mergeCell ref="E36:G36"/>
    <mergeCell ref="E37:G37"/>
    <mergeCell ref="E38:G38"/>
    <mergeCell ref="E39:G39"/>
    <mergeCell ref="E40:G40"/>
    <mergeCell ref="E41:G41"/>
    <mergeCell ref="E42:G42"/>
    <mergeCell ref="C67:G67"/>
    <mergeCell ref="C68:G68"/>
    <mergeCell ref="A45:G45"/>
    <mergeCell ref="B43:G43"/>
    <mergeCell ref="A70:B70"/>
    <mergeCell ref="A38:A40"/>
    <mergeCell ref="B38:B40"/>
    <mergeCell ref="A48:B48"/>
    <mergeCell ref="A56:B56"/>
    <mergeCell ref="A60:B60"/>
    <mergeCell ref="A61:B61"/>
    <mergeCell ref="A62:B62"/>
    <mergeCell ref="A49:B49"/>
    <mergeCell ref="A50:B50"/>
    <mergeCell ref="A51:B51"/>
    <mergeCell ref="A52:B52"/>
    <mergeCell ref="A53:B53"/>
    <mergeCell ref="A55:B55"/>
  </mergeCells>
  <dataValidations count="4">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3" xr:uid="{00000000-0002-0000-0300-000000000000}">
      <formula1>"18300,21650"</formula1>
    </dataValidation>
    <dataValidation type="list" allowBlank="1" showInputMessage="1" showErrorMessage="1" sqref="D25 D27:D30 D32:D34 D36:D42" xr:uid="{1E1DC492-8A6E-4CA3-A9FC-A7A1DCA0E704}">
      <formula1>"OUI,NON"</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57" xr:uid="{BFEAB635-A4A6-4EDD-9D46-85FA5C06D61D}">
      <formula1>SUM(B19,C19,E19,F19)</formula1>
    </dataValidation>
    <dataValidation allowBlank="1" showErrorMessage="1" promptTitle="Choisir entre options" prompt="   - 2 250 € sans pk ou avec pk aérien_x000a_   - 2 300 € avec pk en ouvrage" sqref="B20" xr:uid="{B11470FA-4E7F-4BAA-972F-345317B9A7D7}"/>
  </dataValidations>
  <pageMargins left="0.23622047244094491" right="0.23622047244094491" top="0.74803149606299213" bottom="0.74803149606299213" header="0" footer="0"/>
  <pageSetup paperSize="8" scale="56"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20675-1C91-4ADE-B583-CA3A6A8929DF}">
  <sheetPr>
    <pageSetUpPr fitToPage="1"/>
  </sheetPr>
  <dimension ref="A1:AA1001"/>
  <sheetViews>
    <sheetView workbookViewId="0">
      <pane ySplit="3" topLeftCell="A4" activePane="bottomLeft" state="frozenSplit"/>
      <selection pane="bottomLeft" activeCell="D9" sqref="D9"/>
    </sheetView>
  </sheetViews>
  <sheetFormatPr baseColWidth="10" defaultColWidth="14.42578125" defaultRowHeight="15"/>
  <cols>
    <col min="1" max="1" width="48.42578125" bestFit="1" customWidth="1"/>
    <col min="2" max="2" width="31.140625" bestFit="1" customWidth="1"/>
    <col min="3" max="3" width="40.28515625" bestFit="1" customWidth="1"/>
    <col min="4" max="4" width="18.28515625" bestFit="1" customWidth="1"/>
    <col min="5" max="6" width="31.28515625" customWidth="1"/>
    <col min="7" max="7" width="53.5703125" customWidth="1"/>
    <col min="8" max="8" width="56.28515625" customWidth="1"/>
    <col min="9" max="27" width="10.7109375" customWidth="1"/>
  </cols>
  <sheetData>
    <row r="1" spans="1:27" ht="86.25" customHeight="1" thickBot="1">
      <c r="A1" s="10" t="s">
        <v>173</v>
      </c>
      <c r="B1" s="11" t="s">
        <v>29</v>
      </c>
      <c r="C1" s="342"/>
      <c r="D1" s="343"/>
      <c r="E1" s="187"/>
      <c r="F1" s="12"/>
      <c r="G1" s="103"/>
      <c r="H1" s="13"/>
      <c r="I1" s="13"/>
      <c r="J1" s="13"/>
    </row>
    <row r="2" spans="1:27" ht="14.25" customHeight="1" thickBot="1">
      <c r="A2" s="14" t="str">
        <f>B8</f>
        <v>Locatif social</v>
      </c>
      <c r="B2" s="15">
        <v>0.7</v>
      </c>
      <c r="C2" s="344"/>
      <c r="D2" s="345"/>
      <c r="E2" s="349"/>
      <c r="F2" s="16"/>
      <c r="G2" s="5"/>
      <c r="H2" s="13"/>
      <c r="I2" s="13"/>
      <c r="J2" s="13"/>
    </row>
    <row r="3" spans="1:27" ht="14.25" customHeight="1" thickBot="1">
      <c r="A3" s="17" t="str">
        <f>C8</f>
        <v>Accession encadrée</v>
      </c>
      <c r="B3" s="18">
        <v>0.3</v>
      </c>
      <c r="C3" s="346"/>
      <c r="D3" s="345"/>
      <c r="E3" s="350"/>
      <c r="F3" s="5"/>
      <c r="G3" s="5"/>
      <c r="H3" s="13"/>
      <c r="I3" s="13"/>
      <c r="J3" s="13"/>
    </row>
    <row r="4" spans="1:27" ht="14.25" customHeight="1">
      <c r="A4" s="19"/>
      <c r="B4" s="19"/>
      <c r="C4" s="5"/>
      <c r="D4" s="5"/>
      <c r="E4" s="5"/>
      <c r="F4" s="5"/>
      <c r="G4" s="5"/>
      <c r="H4" s="13"/>
      <c r="I4" s="13"/>
      <c r="J4" s="13"/>
    </row>
    <row r="5" spans="1:27" ht="21">
      <c r="A5" s="299" t="s">
        <v>30</v>
      </c>
      <c r="B5" s="299"/>
      <c r="C5" s="299"/>
      <c r="D5" s="299"/>
      <c r="E5" s="299"/>
      <c r="F5" s="299"/>
      <c r="G5" s="299"/>
      <c r="H5" s="114"/>
      <c r="I5" s="114"/>
      <c r="J5" s="114"/>
      <c r="K5" s="114"/>
      <c r="L5" s="114"/>
      <c r="M5" s="114"/>
      <c r="N5" s="114"/>
      <c r="O5" s="114"/>
      <c r="P5" s="114"/>
      <c r="Q5" s="114"/>
      <c r="R5" s="114"/>
      <c r="S5" s="114"/>
      <c r="T5" s="114"/>
      <c r="U5" s="114"/>
      <c r="V5" s="114"/>
      <c r="W5" s="114"/>
      <c r="X5" s="114"/>
      <c r="Y5" s="114"/>
      <c r="Z5" s="114"/>
    </row>
    <row r="6" spans="1:27" ht="14.25" customHeight="1">
      <c r="A6" s="20" t="s">
        <v>31</v>
      </c>
      <c r="B6" s="21">
        <v>7000</v>
      </c>
      <c r="C6" s="22"/>
      <c r="D6" s="3"/>
      <c r="E6" s="23"/>
      <c r="F6" s="24"/>
      <c r="G6" s="24"/>
      <c r="H6" s="25"/>
      <c r="I6" s="26"/>
      <c r="J6" s="27"/>
      <c r="K6" s="3"/>
      <c r="L6" s="3"/>
      <c r="M6" s="3"/>
      <c r="N6" s="3"/>
      <c r="O6" s="3"/>
      <c r="P6" s="3"/>
      <c r="Q6" s="3"/>
      <c r="R6" s="3"/>
      <c r="S6" s="3"/>
      <c r="T6" s="3"/>
      <c r="U6" s="3"/>
      <c r="V6" s="3"/>
      <c r="W6" s="3"/>
      <c r="X6" s="3"/>
      <c r="Y6" s="3"/>
      <c r="Z6" s="3"/>
      <c r="AA6" s="3"/>
    </row>
    <row r="7" spans="1:27" ht="14.25" customHeight="1">
      <c r="A7" s="20" t="s">
        <v>32</v>
      </c>
      <c r="B7" s="6">
        <v>100</v>
      </c>
      <c r="C7" s="22"/>
      <c r="D7" s="3"/>
      <c r="E7" s="23"/>
      <c r="F7" s="24"/>
      <c r="G7" s="24"/>
      <c r="H7" s="25"/>
      <c r="I7" s="26"/>
      <c r="J7" s="27"/>
      <c r="K7" s="3"/>
      <c r="L7" s="3"/>
      <c r="M7" s="3"/>
      <c r="N7" s="3"/>
      <c r="O7" s="3"/>
      <c r="P7" s="3"/>
      <c r="Q7" s="3"/>
      <c r="R7" s="3"/>
      <c r="S7" s="3"/>
      <c r="T7" s="3"/>
      <c r="U7" s="3"/>
      <c r="V7" s="3"/>
      <c r="W7" s="3"/>
      <c r="X7" s="3"/>
      <c r="Y7" s="3"/>
      <c r="Z7" s="3"/>
      <c r="AA7" s="3"/>
    </row>
    <row r="8" spans="1:27" ht="14.25" customHeight="1">
      <c r="A8" s="28"/>
      <c r="B8" s="351" t="s">
        <v>33</v>
      </c>
      <c r="C8" s="347" t="s">
        <v>3</v>
      </c>
      <c r="D8" s="348"/>
      <c r="E8" s="353"/>
      <c r="F8" s="355"/>
      <c r="G8" s="357"/>
      <c r="H8" s="25"/>
      <c r="I8" s="26"/>
      <c r="J8" s="27"/>
      <c r="K8" s="3"/>
      <c r="L8" s="3"/>
      <c r="M8" s="3"/>
      <c r="N8" s="3"/>
      <c r="O8" s="3"/>
      <c r="P8" s="3"/>
      <c r="Q8" s="3"/>
      <c r="R8" s="3"/>
      <c r="S8" s="3"/>
      <c r="T8" s="3"/>
      <c r="U8" s="3"/>
      <c r="V8" s="3"/>
      <c r="W8" s="3"/>
      <c r="X8" s="3"/>
      <c r="Y8" s="3"/>
      <c r="Z8" s="3"/>
      <c r="AA8" s="3"/>
    </row>
    <row r="9" spans="1:27" ht="14.25" customHeight="1">
      <c r="A9" s="23"/>
      <c r="B9" s="352"/>
      <c r="C9" s="29" t="s">
        <v>35</v>
      </c>
      <c r="D9" s="106">
        <v>0.15</v>
      </c>
      <c r="E9" s="354"/>
      <c r="F9" s="356"/>
      <c r="G9" s="356"/>
      <c r="H9" s="30"/>
      <c r="I9" s="8"/>
      <c r="J9" s="27"/>
      <c r="K9" s="5"/>
      <c r="L9" s="5"/>
      <c r="M9" s="5"/>
      <c r="N9" s="5"/>
      <c r="O9" s="5"/>
      <c r="P9" s="5"/>
      <c r="Q9" s="5"/>
      <c r="R9" s="5"/>
      <c r="S9" s="5"/>
      <c r="T9" s="5"/>
      <c r="U9" s="5"/>
      <c r="V9" s="5"/>
      <c r="W9" s="5"/>
      <c r="X9" s="5"/>
      <c r="Y9" s="5"/>
      <c r="Z9" s="5"/>
      <c r="AA9" s="5"/>
    </row>
    <row r="10" spans="1:27" ht="14.25" customHeight="1">
      <c r="A10" s="23"/>
      <c r="B10" s="352"/>
      <c r="C10" s="31" t="s">
        <v>36</v>
      </c>
      <c r="D10" s="107">
        <v>0</v>
      </c>
      <c r="E10" s="354"/>
      <c r="F10" s="356"/>
      <c r="G10" s="356"/>
      <c r="H10" s="30"/>
      <c r="I10" s="8"/>
      <c r="J10" s="27"/>
      <c r="K10" s="5"/>
      <c r="L10" s="5"/>
      <c r="M10" s="5"/>
      <c r="N10" s="5"/>
      <c r="O10" s="5"/>
      <c r="P10" s="5"/>
      <c r="Q10" s="5"/>
      <c r="R10" s="5"/>
      <c r="S10" s="5"/>
      <c r="T10" s="5"/>
      <c r="U10" s="5"/>
      <c r="V10" s="5"/>
      <c r="W10" s="5"/>
      <c r="X10" s="5"/>
      <c r="Y10" s="5"/>
      <c r="Z10" s="5"/>
      <c r="AA10" s="5"/>
    </row>
    <row r="11" spans="1:27" ht="14.25" customHeight="1">
      <c r="A11" s="23"/>
      <c r="B11" s="352"/>
      <c r="C11" s="31" t="s">
        <v>37</v>
      </c>
      <c r="D11" s="107">
        <v>0.15</v>
      </c>
      <c r="E11" s="354"/>
      <c r="F11" s="356"/>
      <c r="G11" s="356"/>
      <c r="H11" s="30"/>
      <c r="I11" s="8"/>
      <c r="J11" s="27"/>
      <c r="K11" s="5"/>
      <c r="L11" s="5"/>
      <c r="M11" s="5"/>
      <c r="N11" s="5"/>
      <c r="O11" s="5"/>
      <c r="P11" s="5"/>
      <c r="Q11" s="5"/>
      <c r="R11" s="5"/>
      <c r="S11" s="5"/>
      <c r="T11" s="5"/>
      <c r="U11" s="5"/>
      <c r="V11" s="5"/>
      <c r="W11" s="5"/>
      <c r="X11" s="5"/>
      <c r="Y11" s="5"/>
      <c r="Z11" s="5"/>
      <c r="AA11" s="5"/>
    </row>
    <row r="12" spans="1:27" ht="14.25" customHeight="1">
      <c r="A12" s="23"/>
      <c r="B12" s="331"/>
      <c r="C12" s="32" t="s">
        <v>38</v>
      </c>
      <c r="D12" s="190">
        <f>C13-SUM(D9:D11)</f>
        <v>0</v>
      </c>
      <c r="E12" s="354"/>
      <c r="F12" s="356"/>
      <c r="G12" s="356"/>
      <c r="H12" s="30"/>
      <c r="I12" s="8"/>
      <c r="J12" s="27"/>
      <c r="K12" s="5"/>
      <c r="L12" s="5"/>
      <c r="M12" s="5"/>
      <c r="N12" s="5"/>
      <c r="O12" s="5"/>
      <c r="P12" s="5"/>
      <c r="Q12" s="5"/>
      <c r="R12" s="5"/>
      <c r="S12" s="5"/>
      <c r="T12" s="5"/>
      <c r="U12" s="5"/>
      <c r="V12" s="5"/>
      <c r="W12" s="5"/>
      <c r="X12" s="5"/>
      <c r="Y12" s="5"/>
      <c r="Z12" s="5"/>
      <c r="AA12" s="5"/>
    </row>
    <row r="13" spans="1:27" ht="14.25" customHeight="1">
      <c r="A13" s="33" t="s">
        <v>39</v>
      </c>
      <c r="B13" s="34">
        <f>B2</f>
        <v>0.7</v>
      </c>
      <c r="C13" s="358">
        <f>B3</f>
        <v>0.3</v>
      </c>
      <c r="D13" s="359"/>
      <c r="E13" s="191"/>
      <c r="F13" s="192"/>
      <c r="G13" s="193"/>
      <c r="H13" s="30"/>
      <c r="I13" s="8"/>
      <c r="J13" s="27"/>
      <c r="K13" s="5"/>
      <c r="L13" s="5"/>
      <c r="M13" s="5"/>
      <c r="N13" s="5"/>
      <c r="O13" s="5"/>
      <c r="P13" s="5"/>
      <c r="Q13" s="5"/>
      <c r="R13" s="5"/>
      <c r="S13" s="5"/>
      <c r="T13" s="5"/>
      <c r="U13" s="5"/>
      <c r="V13" s="5"/>
      <c r="W13" s="5"/>
      <c r="X13" s="5"/>
      <c r="Y13" s="5"/>
      <c r="Z13" s="5"/>
      <c r="AA13" s="5"/>
    </row>
    <row r="14" spans="1:27" ht="14.25" customHeight="1">
      <c r="A14" s="35" t="s">
        <v>40</v>
      </c>
      <c r="B14" s="36">
        <f t="shared" ref="B14:C14" si="0">B13*$B$6</f>
        <v>4900</v>
      </c>
      <c r="C14" s="360">
        <f t="shared" si="0"/>
        <v>2100</v>
      </c>
      <c r="D14" s="361"/>
      <c r="E14" s="194"/>
      <c r="F14" s="195"/>
      <c r="G14" s="196"/>
      <c r="H14" s="37"/>
      <c r="I14" s="8"/>
      <c r="J14" s="38"/>
      <c r="K14" s="5"/>
      <c r="L14" s="5"/>
      <c r="M14" s="5"/>
      <c r="N14" s="5"/>
      <c r="O14" s="5"/>
      <c r="P14" s="5"/>
      <c r="Q14" s="5"/>
      <c r="R14" s="5"/>
      <c r="S14" s="5"/>
      <c r="T14" s="5"/>
      <c r="U14" s="5"/>
      <c r="V14" s="5"/>
      <c r="W14" s="5"/>
      <c r="X14" s="5"/>
      <c r="Y14" s="5"/>
      <c r="Z14" s="5"/>
      <c r="AA14" s="5"/>
    </row>
    <row r="15" spans="1:27" ht="14.25" customHeight="1">
      <c r="A15" s="39" t="s">
        <v>41</v>
      </c>
      <c r="B15" s="40">
        <f t="shared" ref="B15:C15" si="1">0.9*B14</f>
        <v>4410</v>
      </c>
      <c r="C15" s="362">
        <f t="shared" si="1"/>
        <v>1890</v>
      </c>
      <c r="D15" s="363"/>
      <c r="E15" s="194"/>
      <c r="F15" s="195"/>
      <c r="G15" s="197"/>
      <c r="H15" s="37"/>
      <c r="I15" s="8"/>
      <c r="J15" s="38"/>
      <c r="K15" s="5"/>
      <c r="L15" s="5"/>
      <c r="M15" s="5"/>
      <c r="N15" s="5"/>
      <c r="O15" s="5"/>
      <c r="P15" s="5"/>
      <c r="Q15" s="5"/>
      <c r="R15" s="5"/>
      <c r="S15" s="5"/>
      <c r="T15" s="5"/>
      <c r="U15" s="5"/>
      <c r="V15" s="5"/>
      <c r="W15" s="5"/>
      <c r="X15" s="5"/>
      <c r="Y15" s="5"/>
      <c r="Z15" s="5"/>
      <c r="AA15" s="5"/>
    </row>
    <row r="16" spans="1:27" ht="14.25" customHeight="1">
      <c r="A16" s="41" t="s">
        <v>42</v>
      </c>
      <c r="B16" s="42">
        <f t="shared" ref="B16:C16" si="2">ROUND(B15*75/70,0)</f>
        <v>4725</v>
      </c>
      <c r="C16" s="364">
        <f t="shared" si="2"/>
        <v>2025</v>
      </c>
      <c r="D16" s="365"/>
      <c r="E16" s="194"/>
      <c r="F16" s="195"/>
      <c r="G16" s="197"/>
      <c r="H16" s="37"/>
      <c r="I16" s="8"/>
      <c r="J16" s="38"/>
      <c r="K16" s="5"/>
      <c r="L16" s="5"/>
      <c r="M16" s="5"/>
      <c r="N16" s="5"/>
      <c r="O16" s="5"/>
      <c r="P16" s="5"/>
      <c r="Q16" s="5"/>
      <c r="R16" s="5"/>
      <c r="S16" s="5"/>
      <c r="T16" s="5"/>
      <c r="U16" s="5"/>
      <c r="V16" s="5"/>
      <c r="W16" s="5"/>
      <c r="X16" s="5"/>
      <c r="Y16" s="5"/>
      <c r="Z16" s="5"/>
      <c r="AA16" s="5"/>
    </row>
    <row r="17" spans="1:27" ht="14.25" customHeight="1">
      <c r="A17" s="43" t="s">
        <v>43</v>
      </c>
      <c r="B17" s="44">
        <v>250</v>
      </c>
      <c r="C17" s="366" t="str">
        <f>IF($C$13=0,0,ROUND((350*D9+275*SUM(D10:D12))/C13,0))&amp;" € (350 € BRS et 275 € autres produits)"</f>
        <v>313 € (350 € BRS et 275 € autres produits)</v>
      </c>
      <c r="D17" s="329"/>
      <c r="E17" s="198"/>
      <c r="F17" s="199"/>
      <c r="G17" s="193"/>
      <c r="H17" s="37"/>
      <c r="I17" s="8"/>
      <c r="J17" s="38"/>
      <c r="K17" s="5"/>
      <c r="L17" s="5"/>
      <c r="M17" s="5"/>
      <c r="N17" s="5"/>
      <c r="O17" s="5"/>
      <c r="P17" s="5"/>
      <c r="Q17" s="5"/>
      <c r="R17" s="5"/>
      <c r="S17" s="5"/>
      <c r="T17" s="5"/>
      <c r="U17" s="5"/>
      <c r="V17" s="5"/>
      <c r="W17" s="5"/>
      <c r="X17" s="5"/>
      <c r="Y17" s="5"/>
      <c r="Z17" s="5"/>
      <c r="AA17" s="5"/>
    </row>
    <row r="18" spans="1:27" ht="14.25" customHeight="1">
      <c r="A18" s="43" t="s">
        <v>44</v>
      </c>
      <c r="B18" s="45">
        <f t="shared" ref="B18:C18" si="3">B13*$B$7</f>
        <v>70</v>
      </c>
      <c r="C18" s="328">
        <f t="shared" si="3"/>
        <v>30</v>
      </c>
      <c r="D18" s="329"/>
      <c r="E18" s="200"/>
      <c r="F18" s="201"/>
      <c r="G18" s="193"/>
      <c r="H18" s="30"/>
      <c r="I18" s="46"/>
      <c r="J18" s="47"/>
      <c r="K18" s="5"/>
      <c r="L18" s="5"/>
      <c r="M18" s="5"/>
      <c r="N18" s="5"/>
      <c r="O18" s="5"/>
      <c r="P18" s="5"/>
      <c r="Q18" s="5"/>
      <c r="R18" s="5"/>
      <c r="S18" s="5"/>
      <c r="T18" s="5"/>
      <c r="U18" s="5"/>
      <c r="V18" s="5"/>
      <c r="W18" s="5"/>
      <c r="X18" s="5"/>
      <c r="Y18" s="5"/>
      <c r="Z18" s="5"/>
      <c r="AA18" s="5"/>
    </row>
    <row r="19" spans="1:27" ht="14.25" customHeight="1">
      <c r="A19" s="43" t="s">
        <v>45</v>
      </c>
      <c r="B19" s="45">
        <f>ROUND(B18*0.5,0)</f>
        <v>35</v>
      </c>
      <c r="C19" s="328">
        <f>ROUND(C18*0.7,0)</f>
        <v>21</v>
      </c>
      <c r="D19" s="329"/>
      <c r="E19" s="200"/>
      <c r="F19" s="201"/>
      <c r="G19" s="193"/>
      <c r="H19" s="30"/>
      <c r="I19" s="46"/>
      <c r="J19" s="47"/>
      <c r="K19" s="5"/>
      <c r="L19" s="5"/>
      <c r="M19" s="5"/>
      <c r="N19" s="5"/>
      <c r="O19" s="5"/>
      <c r="P19" s="5"/>
      <c r="Q19" s="5"/>
      <c r="R19" s="5"/>
      <c r="S19" s="5"/>
      <c r="T19" s="5"/>
      <c r="U19" s="5"/>
      <c r="V19" s="5"/>
      <c r="W19" s="5"/>
      <c r="X19" s="5"/>
      <c r="Y19" s="5"/>
      <c r="Z19" s="5"/>
      <c r="AA19" s="5"/>
    </row>
    <row r="20" spans="1:27">
      <c r="A20" s="330" t="s">
        <v>46</v>
      </c>
      <c r="B20" s="226"/>
      <c r="C20" s="332" t="s">
        <v>136</v>
      </c>
      <c r="D20" s="333"/>
      <c r="E20" s="202"/>
      <c r="F20" s="203"/>
      <c r="G20" s="193"/>
      <c r="H20" s="30"/>
      <c r="I20" s="46"/>
      <c r="J20" s="47"/>
      <c r="K20" s="5"/>
      <c r="L20" s="5"/>
      <c r="M20" s="5"/>
      <c r="N20" s="5"/>
      <c r="O20" s="5"/>
      <c r="P20" s="5"/>
      <c r="Q20" s="5"/>
      <c r="R20" s="5"/>
      <c r="S20" s="5"/>
      <c r="T20" s="5"/>
      <c r="U20" s="5"/>
      <c r="V20" s="5"/>
      <c r="W20" s="5"/>
      <c r="X20" s="5"/>
      <c r="Y20" s="5"/>
      <c r="Z20" s="5"/>
      <c r="AA20" s="5"/>
    </row>
    <row r="21" spans="1:27" ht="45" customHeight="1">
      <c r="A21" s="331"/>
      <c r="B21" s="227"/>
      <c r="C21" s="334"/>
      <c r="D21" s="335"/>
      <c r="E21" s="204"/>
      <c r="F21" s="205"/>
      <c r="G21" s="206"/>
      <c r="H21" s="5"/>
      <c r="I21" s="5"/>
      <c r="J21" s="5"/>
      <c r="K21" s="5"/>
      <c r="L21" s="5"/>
      <c r="M21" s="5"/>
      <c r="N21" s="5"/>
      <c r="O21" s="5"/>
      <c r="P21" s="5"/>
      <c r="Q21" s="5"/>
      <c r="R21" s="5"/>
      <c r="S21" s="5"/>
      <c r="T21" s="5"/>
      <c r="U21" s="5"/>
      <c r="V21" s="5"/>
      <c r="W21" s="5"/>
      <c r="X21" s="5"/>
      <c r="Y21" s="5"/>
      <c r="Z21" s="5"/>
      <c r="AA21" s="5"/>
    </row>
    <row r="22" spans="1:27" ht="14.25" customHeight="1">
      <c r="A22" s="5"/>
      <c r="B22" s="5"/>
      <c r="C22" s="5"/>
      <c r="D22" s="5"/>
      <c r="E22" s="5"/>
      <c r="F22" s="112"/>
      <c r="G22" s="112"/>
    </row>
    <row r="23" spans="1:27" ht="21">
      <c r="A23" s="299" t="s">
        <v>47</v>
      </c>
      <c r="B23" s="299"/>
      <c r="C23" s="299"/>
      <c r="D23" s="299"/>
      <c r="E23" s="299"/>
      <c r="F23" s="299"/>
      <c r="G23" s="299"/>
      <c r="H23" s="114"/>
      <c r="I23" s="114"/>
      <c r="J23" s="114"/>
      <c r="K23" s="114"/>
      <c r="L23" s="114"/>
      <c r="M23" s="114"/>
      <c r="N23" s="114"/>
      <c r="O23" s="114"/>
      <c r="P23" s="114"/>
      <c r="Q23" s="114"/>
      <c r="R23" s="114"/>
      <c r="S23" s="114"/>
      <c r="T23" s="114"/>
      <c r="U23" s="114"/>
      <c r="V23" s="114"/>
      <c r="W23" s="114"/>
      <c r="X23" s="114"/>
      <c r="Y23" s="114"/>
      <c r="Z23" s="114"/>
    </row>
    <row r="24" spans="1:27" ht="33.75" customHeight="1">
      <c r="A24" s="48" t="s">
        <v>48</v>
      </c>
      <c r="B24" s="49" t="s">
        <v>49</v>
      </c>
      <c r="C24" s="50" t="s">
        <v>50</v>
      </c>
      <c r="D24" s="50" t="s">
        <v>51</v>
      </c>
      <c r="E24" s="336" t="s">
        <v>52</v>
      </c>
      <c r="F24" s="337"/>
      <c r="G24" s="338"/>
    </row>
    <row r="25" spans="1:27" ht="32.25">
      <c r="A25" s="51" t="s">
        <v>53</v>
      </c>
      <c r="B25" s="151" t="s">
        <v>142</v>
      </c>
      <c r="C25" s="53"/>
      <c r="D25" s="147" t="s">
        <v>54</v>
      </c>
      <c r="E25" s="339"/>
      <c r="F25" s="340"/>
      <c r="G25" s="341"/>
    </row>
    <row r="26" spans="1:27">
      <c r="A26" s="54" t="s">
        <v>55</v>
      </c>
      <c r="B26" s="55"/>
      <c r="C26" s="56"/>
      <c r="D26" s="54"/>
      <c r="E26" s="57"/>
      <c r="F26" s="57"/>
      <c r="G26" s="57"/>
    </row>
    <row r="27" spans="1:27" ht="30">
      <c r="A27" s="58" t="s">
        <v>56</v>
      </c>
      <c r="B27" s="59" t="s">
        <v>57</v>
      </c>
      <c r="C27" s="60"/>
      <c r="D27" s="147" t="s">
        <v>54</v>
      </c>
      <c r="E27" s="293"/>
      <c r="F27" s="294"/>
      <c r="G27" s="295"/>
    </row>
    <row r="28" spans="1:27" ht="24">
      <c r="A28" s="61" t="s">
        <v>58</v>
      </c>
      <c r="B28" s="62" t="s">
        <v>59</v>
      </c>
      <c r="C28" s="153" t="s">
        <v>146</v>
      </c>
      <c r="D28" s="147" t="s">
        <v>54</v>
      </c>
      <c r="E28" s="296"/>
      <c r="F28" s="297"/>
      <c r="G28" s="298"/>
    </row>
    <row r="29" spans="1:27" ht="24">
      <c r="A29" s="61" t="s">
        <v>60</v>
      </c>
      <c r="B29" s="62" t="s">
        <v>59</v>
      </c>
      <c r="C29" s="153" t="s">
        <v>147</v>
      </c>
      <c r="D29" s="147" t="s">
        <v>54</v>
      </c>
      <c r="E29" s="296"/>
      <c r="F29" s="297"/>
      <c r="G29" s="298"/>
    </row>
    <row r="30" spans="1:27" ht="30">
      <c r="A30" s="63" t="s">
        <v>61</v>
      </c>
      <c r="B30" s="64" t="s">
        <v>62</v>
      </c>
      <c r="C30" s="154" t="s">
        <v>148</v>
      </c>
      <c r="D30" s="147" t="s">
        <v>54</v>
      </c>
      <c r="E30" s="322"/>
      <c r="F30" s="323"/>
      <c r="G30" s="324"/>
    </row>
    <row r="31" spans="1:27">
      <c r="A31" s="65" t="s">
        <v>63</v>
      </c>
      <c r="B31" s="66"/>
      <c r="C31" s="67"/>
      <c r="D31" s="68"/>
      <c r="E31" s="69"/>
      <c r="F31" s="69"/>
      <c r="G31" s="69"/>
    </row>
    <row r="32" spans="1:27" ht="36">
      <c r="A32" s="149" t="s">
        <v>140</v>
      </c>
      <c r="B32" s="70" t="s">
        <v>64</v>
      </c>
      <c r="C32" s="71" t="s">
        <v>65</v>
      </c>
      <c r="D32" s="147" t="s">
        <v>54</v>
      </c>
      <c r="E32" s="325"/>
      <c r="F32" s="326"/>
      <c r="G32" s="327"/>
    </row>
    <row r="33" spans="1:27" ht="30">
      <c r="A33" s="61" t="s">
        <v>66</v>
      </c>
      <c r="B33" s="72" t="s">
        <v>67</v>
      </c>
      <c r="C33" s="73" t="s">
        <v>68</v>
      </c>
      <c r="D33" s="147" t="s">
        <v>54</v>
      </c>
      <c r="E33" s="296"/>
      <c r="F33" s="297"/>
      <c r="G33" s="298"/>
    </row>
    <row r="34" spans="1:27" ht="30">
      <c r="A34" s="63" t="s">
        <v>69</v>
      </c>
      <c r="B34" s="52" t="s">
        <v>70</v>
      </c>
      <c r="C34" s="53"/>
      <c r="D34" s="147" t="s">
        <v>54</v>
      </c>
      <c r="E34" s="296"/>
      <c r="F34" s="297"/>
      <c r="G34" s="298"/>
    </row>
    <row r="35" spans="1:27">
      <c r="A35" s="74" t="s">
        <v>71</v>
      </c>
      <c r="B35" s="75"/>
      <c r="C35" s="76"/>
      <c r="D35" s="74"/>
      <c r="E35" s="77"/>
      <c r="F35" s="77"/>
      <c r="G35" s="77"/>
    </row>
    <row r="36" spans="1:27" ht="23.25">
      <c r="A36" s="308" t="s">
        <v>72</v>
      </c>
      <c r="B36" s="309" t="s">
        <v>73</v>
      </c>
      <c r="C36" s="152" t="s">
        <v>143</v>
      </c>
      <c r="D36" s="147" t="s">
        <v>54</v>
      </c>
      <c r="E36" s="293"/>
      <c r="F36" s="294"/>
      <c r="G36" s="295"/>
    </row>
    <row r="37" spans="1:27" ht="23.25">
      <c r="A37" s="306"/>
      <c r="B37" s="306"/>
      <c r="C37" s="150" t="s">
        <v>144</v>
      </c>
      <c r="D37" s="147" t="s">
        <v>54</v>
      </c>
      <c r="E37" s="296"/>
      <c r="F37" s="297"/>
      <c r="G37" s="298"/>
    </row>
    <row r="38" spans="1:27" ht="23.25">
      <c r="A38" s="304" t="s">
        <v>74</v>
      </c>
      <c r="B38" s="307" t="s">
        <v>75</v>
      </c>
      <c r="C38" s="73" t="s">
        <v>76</v>
      </c>
      <c r="D38" s="147" t="s">
        <v>54</v>
      </c>
      <c r="E38" s="296"/>
      <c r="F38" s="297"/>
      <c r="G38" s="298"/>
    </row>
    <row r="39" spans="1:27" ht="23.25">
      <c r="A39" s="305"/>
      <c r="B39" s="305"/>
      <c r="C39" s="73" t="s">
        <v>77</v>
      </c>
      <c r="D39" s="147" t="s">
        <v>54</v>
      </c>
      <c r="E39" s="296"/>
      <c r="F39" s="297"/>
      <c r="G39" s="298"/>
    </row>
    <row r="40" spans="1:27" ht="23.25">
      <c r="A40" s="306"/>
      <c r="B40" s="306"/>
      <c r="C40" s="150" t="s">
        <v>141</v>
      </c>
      <c r="D40" s="147" t="s">
        <v>54</v>
      </c>
      <c r="E40" s="296"/>
      <c r="F40" s="297"/>
      <c r="G40" s="298"/>
    </row>
    <row r="41" spans="1:27" ht="23.25">
      <c r="A41" s="304" t="s">
        <v>78</v>
      </c>
      <c r="B41" s="148" t="s">
        <v>139</v>
      </c>
      <c r="C41" s="73" t="s">
        <v>79</v>
      </c>
      <c r="D41" s="147" t="s">
        <v>54</v>
      </c>
      <c r="E41" s="296"/>
      <c r="F41" s="297"/>
      <c r="G41" s="298"/>
    </row>
    <row r="42" spans="1:27" ht="36">
      <c r="A42" s="306"/>
      <c r="B42" s="62" t="s">
        <v>80</v>
      </c>
      <c r="C42" s="78" t="s">
        <v>81</v>
      </c>
      <c r="D42" s="147" t="s">
        <v>54</v>
      </c>
      <c r="E42" s="296"/>
      <c r="F42" s="297"/>
      <c r="G42" s="298"/>
    </row>
    <row r="43" spans="1:27" ht="14.25" customHeight="1">
      <c r="A43" s="79"/>
      <c r="B43" s="300" t="s">
        <v>145</v>
      </c>
      <c r="C43" s="301"/>
      <c r="D43" s="301"/>
      <c r="E43" s="301"/>
      <c r="F43" s="301"/>
      <c r="G43" s="301"/>
      <c r="H43" s="2"/>
      <c r="I43" s="2"/>
      <c r="J43" s="2"/>
      <c r="K43" s="2"/>
      <c r="L43" s="2"/>
      <c r="M43" s="2"/>
      <c r="N43" s="2"/>
      <c r="O43" s="2"/>
      <c r="P43" s="2"/>
      <c r="Q43" s="2"/>
      <c r="R43" s="2"/>
      <c r="S43" s="2"/>
      <c r="T43" s="2"/>
      <c r="U43" s="2"/>
      <c r="V43" s="2"/>
      <c r="W43" s="2"/>
      <c r="X43" s="2"/>
      <c r="Y43" s="2"/>
      <c r="Z43" s="2"/>
      <c r="AA43" s="2"/>
    </row>
    <row r="44" spans="1:27" ht="14.25" customHeight="1">
      <c r="A44" s="83"/>
      <c r="B44" s="82"/>
      <c r="C44" s="80"/>
      <c r="D44" s="81"/>
      <c r="E44" s="80"/>
      <c r="F44" s="80"/>
      <c r="G44" s="80"/>
    </row>
    <row r="45" spans="1:27" ht="21">
      <c r="A45" s="299" t="s">
        <v>166</v>
      </c>
      <c r="B45" s="299"/>
      <c r="C45" s="299"/>
      <c r="D45" s="299"/>
      <c r="E45" s="299"/>
      <c r="F45" s="299"/>
      <c r="G45" s="299"/>
      <c r="H45" s="114"/>
      <c r="I45" s="114"/>
      <c r="J45" s="114"/>
      <c r="K45" s="114"/>
      <c r="L45" s="114"/>
      <c r="M45" s="114"/>
      <c r="N45" s="114"/>
      <c r="O45" s="114"/>
      <c r="P45" s="114"/>
      <c r="Q45" s="114"/>
      <c r="R45" s="114"/>
      <c r="S45" s="114"/>
      <c r="T45" s="114"/>
      <c r="U45" s="114"/>
      <c r="V45" s="114"/>
      <c r="W45" s="114"/>
      <c r="X45" s="114"/>
      <c r="Y45" s="114"/>
      <c r="Z45" s="114"/>
    </row>
    <row r="46" spans="1:27" ht="14.25" customHeight="1">
      <c r="A46" s="3" t="s">
        <v>167</v>
      </c>
      <c r="B46" s="3"/>
      <c r="C46" s="84" t="s">
        <v>82</v>
      </c>
      <c r="D46" s="84" t="s">
        <v>83</v>
      </c>
      <c r="E46" s="84" t="s">
        <v>84</v>
      </c>
      <c r="F46" s="84" t="s">
        <v>85</v>
      </c>
      <c r="G46" s="3" t="s">
        <v>34</v>
      </c>
    </row>
    <row r="47" spans="1:27" ht="14.25" customHeight="1">
      <c r="A47" s="113" t="s">
        <v>86</v>
      </c>
      <c r="B47" s="85"/>
      <c r="C47" s="85"/>
      <c r="D47" s="85"/>
      <c r="E47" s="86">
        <f>E48+E53</f>
        <v>1881250</v>
      </c>
      <c r="F47" s="86">
        <f>F48+F53</f>
        <v>1984718.75</v>
      </c>
      <c r="G47" s="207">
        <f>F47/$F$64</f>
        <v>1</v>
      </c>
      <c r="H47" s="1"/>
      <c r="I47" s="1"/>
      <c r="J47" s="1"/>
      <c r="K47" s="1"/>
      <c r="L47" s="1"/>
      <c r="M47" s="1"/>
      <c r="N47" s="1"/>
      <c r="O47" s="1"/>
      <c r="P47" s="1"/>
      <c r="Q47" s="1"/>
      <c r="R47" s="1"/>
      <c r="S47" s="1"/>
      <c r="T47" s="1"/>
      <c r="U47" s="1"/>
      <c r="V47" s="1"/>
      <c r="W47" s="1"/>
      <c r="X47" s="1"/>
      <c r="Y47" s="1"/>
      <c r="Z47" s="1"/>
      <c r="AA47" s="1"/>
    </row>
    <row r="48" spans="1:27" ht="14.25" customHeight="1">
      <c r="A48" s="285" t="s">
        <v>87</v>
      </c>
      <c r="B48" s="285"/>
      <c r="C48" s="87"/>
      <c r="D48" s="4"/>
      <c r="E48" s="88">
        <f>SUM(E49:E52)</f>
        <v>1881250</v>
      </c>
      <c r="F48" s="88">
        <f>SUM(F49:F52)</f>
        <v>1984718.75</v>
      </c>
      <c r="G48" s="89"/>
      <c r="H48" s="90"/>
      <c r="I48" s="90"/>
      <c r="J48" s="90"/>
      <c r="K48" s="90"/>
      <c r="L48" s="90"/>
      <c r="M48" s="90"/>
      <c r="N48" s="90"/>
      <c r="O48" s="90"/>
      <c r="P48" s="90"/>
      <c r="Q48" s="90"/>
      <c r="R48" s="90"/>
      <c r="S48" s="90"/>
      <c r="T48" s="90"/>
      <c r="U48" s="90"/>
      <c r="V48" s="90"/>
      <c r="W48" s="90"/>
      <c r="X48" s="90"/>
      <c r="Y48" s="90"/>
      <c r="Z48" s="90"/>
      <c r="AA48" s="90"/>
    </row>
    <row r="49" spans="1:27" ht="14.25" customHeight="1">
      <c r="A49" s="316" t="s">
        <v>88</v>
      </c>
      <c r="B49" s="316"/>
      <c r="C49" s="155">
        <f>B17</f>
        <v>250</v>
      </c>
      <c r="D49" s="156">
        <f>B13*$B$6</f>
        <v>4900</v>
      </c>
      <c r="E49" s="157">
        <f t="shared" ref="E49:E53" si="4">C49*D49</f>
        <v>1225000</v>
      </c>
      <c r="F49" s="157">
        <f t="shared" ref="F49:F50" si="5">E49*1.055</f>
        <v>1292375</v>
      </c>
      <c r="G49" s="158" t="s">
        <v>89</v>
      </c>
      <c r="H49" s="91"/>
      <c r="I49" s="91"/>
      <c r="J49" s="91"/>
      <c r="K49" s="91"/>
      <c r="L49" s="91"/>
      <c r="M49" s="91"/>
      <c r="N49" s="91"/>
      <c r="O49" s="91"/>
      <c r="P49" s="91"/>
      <c r="Q49" s="91"/>
      <c r="R49" s="91"/>
      <c r="S49" s="91"/>
      <c r="T49" s="91"/>
      <c r="U49" s="91"/>
      <c r="V49" s="91"/>
      <c r="W49" s="91"/>
      <c r="X49" s="91"/>
      <c r="Y49" s="91"/>
      <c r="Z49" s="91"/>
      <c r="AA49" s="91"/>
    </row>
    <row r="50" spans="1:27" ht="14.25" customHeight="1">
      <c r="A50" s="316" t="s">
        <v>35</v>
      </c>
      <c r="B50" s="317"/>
      <c r="C50" s="155">
        <v>350</v>
      </c>
      <c r="D50" s="156">
        <f>D9*$B$6</f>
        <v>1050</v>
      </c>
      <c r="E50" s="159">
        <f t="shared" si="4"/>
        <v>367500</v>
      </c>
      <c r="F50" s="159">
        <f t="shared" si="5"/>
        <v>387712.5</v>
      </c>
      <c r="G50" s="158" t="s">
        <v>89</v>
      </c>
      <c r="H50" s="13"/>
      <c r="I50" s="13"/>
      <c r="J50" s="13"/>
      <c r="K50" s="13"/>
      <c r="L50" s="13"/>
      <c r="M50" s="13"/>
      <c r="N50" s="13"/>
      <c r="O50" s="13"/>
      <c r="P50" s="13"/>
      <c r="Q50" s="13"/>
      <c r="R50" s="13"/>
      <c r="S50" s="13"/>
      <c r="T50" s="13"/>
      <c r="U50" s="13"/>
      <c r="V50" s="13"/>
      <c r="W50" s="13"/>
      <c r="X50" s="13"/>
      <c r="Y50" s="13"/>
      <c r="Z50" s="13"/>
      <c r="AA50" s="13"/>
    </row>
    <row r="51" spans="1:27" ht="14.25" customHeight="1">
      <c r="A51" s="316" t="s">
        <v>90</v>
      </c>
      <c r="B51" s="317"/>
      <c r="C51" s="155">
        <v>275</v>
      </c>
      <c r="D51" s="156">
        <f>SUM(D10:D12)*B6</f>
        <v>1050</v>
      </c>
      <c r="E51" s="157">
        <f t="shared" si="4"/>
        <v>288750</v>
      </c>
      <c r="F51" s="157">
        <f>IF(SUM($D$10:$D$12)=0,0,E51*(1.055*SUM($D$10:$D$11)+1.2*$D$12)/SUM($D$10:$D$12))</f>
        <v>304631.24999999994</v>
      </c>
      <c r="G51" s="158" t="str">
        <f>"TVA moyenne de "&amp;IF(E51=0,0,ROUND((F51/E51-1)*100,2))&amp;" % (prorata SDP)"</f>
        <v>TVA moyenne de 5,5 % (prorata SDP)</v>
      </c>
      <c r="H51" s="91"/>
      <c r="I51" s="91"/>
      <c r="J51" s="91"/>
      <c r="K51" s="91"/>
      <c r="L51" s="91"/>
      <c r="M51" s="91"/>
      <c r="N51" s="91"/>
      <c r="O51" s="91"/>
      <c r="P51" s="91"/>
      <c r="Q51" s="91"/>
      <c r="R51" s="91"/>
      <c r="S51" s="91"/>
      <c r="T51" s="91"/>
      <c r="U51" s="91"/>
      <c r="V51" s="91"/>
      <c r="W51" s="91"/>
      <c r="X51" s="91"/>
      <c r="Y51" s="91"/>
      <c r="Z51" s="91"/>
      <c r="AA51" s="91"/>
    </row>
    <row r="52" spans="1:27" ht="14.25" customHeight="1">
      <c r="A52" s="318" t="s">
        <v>7</v>
      </c>
      <c r="B52" s="319"/>
      <c r="C52" s="160">
        <v>1600</v>
      </c>
      <c r="D52" s="161">
        <f>D57</f>
        <v>0</v>
      </c>
      <c r="E52" s="162">
        <f t="shared" si="4"/>
        <v>0</v>
      </c>
      <c r="F52" s="163">
        <f>IF($C$13=0,E52*(1.2*($E$19+$F$19)+1.055*$B$19)/($B$19+$E$19+$F$19),E52*(1.2*($E$19+$F$19+$C$19*$D$12/$C$13)+1.055*($B$19+$C$19*SUM($D$9:$D$11)/$C$13))/($B$19+$C$19+$E$19+$F$19))</f>
        <v>0</v>
      </c>
      <c r="G52" s="164" t="str">
        <f>"TVA moyenne de "&amp;IF(E52=0,"",ROUND((F52/E52-1)*100,2))&amp;" % (prorata nb places)"</f>
        <v>TVA moyenne de  % (prorata nb places)</v>
      </c>
      <c r="H52" s="91"/>
      <c r="I52" s="91"/>
      <c r="J52" s="91"/>
      <c r="K52" s="91"/>
      <c r="L52" s="91"/>
      <c r="M52" s="91"/>
      <c r="N52" s="91"/>
      <c r="O52" s="91"/>
      <c r="P52" s="91"/>
      <c r="Q52" s="91"/>
      <c r="R52" s="91"/>
      <c r="S52" s="91"/>
      <c r="T52" s="91"/>
      <c r="U52" s="91"/>
      <c r="V52" s="91"/>
      <c r="W52" s="91"/>
      <c r="X52" s="91"/>
      <c r="Y52" s="91"/>
      <c r="Z52" s="91"/>
      <c r="AA52" s="91"/>
    </row>
    <row r="53" spans="1:27" ht="14.25" customHeight="1">
      <c r="A53" s="320" t="s">
        <v>92</v>
      </c>
      <c r="B53" s="321"/>
      <c r="C53" s="108"/>
      <c r="D53" s="92">
        <f>SUM(B19:E19)-D57</f>
        <v>56</v>
      </c>
      <c r="E53" s="93">
        <f t="shared" si="4"/>
        <v>0</v>
      </c>
      <c r="F53" s="93">
        <f>E53*1.2</f>
        <v>0</v>
      </c>
      <c r="G53" s="7"/>
    </row>
    <row r="54" spans="1:27" ht="14.25" customHeight="1">
      <c r="A54" s="85" t="s">
        <v>93</v>
      </c>
      <c r="B54" s="85"/>
      <c r="C54" s="104"/>
      <c r="D54" s="104"/>
      <c r="E54" s="86">
        <f t="shared" ref="E54:F54" si="6">E56+E57+E55</f>
        <v>0</v>
      </c>
      <c r="F54" s="86">
        <f t="shared" si="6"/>
        <v>0</v>
      </c>
      <c r="G54" s="207">
        <f>F54/$F$64</f>
        <v>0</v>
      </c>
      <c r="H54" s="1"/>
      <c r="I54" s="1"/>
      <c r="J54" s="1"/>
      <c r="K54" s="1"/>
      <c r="L54" s="1"/>
      <c r="M54" s="1"/>
      <c r="N54" s="1"/>
      <c r="O54" s="1"/>
      <c r="P54" s="1"/>
      <c r="Q54" s="1"/>
      <c r="R54" s="1"/>
      <c r="S54" s="1"/>
      <c r="T54" s="1"/>
      <c r="U54" s="1"/>
      <c r="V54" s="1"/>
      <c r="W54" s="1"/>
      <c r="X54" s="1"/>
      <c r="Y54" s="1"/>
      <c r="Z54" s="1"/>
      <c r="AA54" s="1"/>
    </row>
    <row r="55" spans="1:27" ht="14.25" customHeight="1">
      <c r="A55" s="310" t="s">
        <v>94</v>
      </c>
      <c r="B55" s="310"/>
      <c r="C55" s="109">
        <v>0</v>
      </c>
      <c r="D55" s="96">
        <f>SUM(B15:E15)</f>
        <v>6300</v>
      </c>
      <c r="E55" s="97">
        <f>D55*C55</f>
        <v>0</v>
      </c>
      <c r="F55" s="175">
        <f>IF($C$13=0,E55*(1.055*$B$14)/$B$6,E55*(1.2*($C$14*$D$12/$C$13)+1.055*($B$14+$C$14*SUM($D$9:$D$11)/$C$13))/$B$6)</f>
        <v>0</v>
      </c>
      <c r="G55" s="179" t="str">
        <f>"TVA moyenne de "&amp;IF(E55=0,"",ROUND((F55/E55-1)*100,2))&amp;" % (prorata SDP)"</f>
        <v>TVA moyenne de  % (prorata SDP)</v>
      </c>
      <c r="H55" s="95"/>
      <c r="I55" s="95"/>
      <c r="J55" s="95"/>
      <c r="K55" s="95"/>
      <c r="L55" s="95"/>
      <c r="M55" s="95"/>
      <c r="N55" s="95"/>
      <c r="O55" s="95"/>
      <c r="P55" s="95"/>
      <c r="Q55" s="95"/>
      <c r="R55" s="95"/>
      <c r="S55" s="95"/>
      <c r="T55" s="95"/>
      <c r="U55" s="95"/>
      <c r="V55" s="95"/>
      <c r="W55" s="95"/>
      <c r="X55" s="95"/>
      <c r="Y55" s="95"/>
      <c r="Z55" s="95"/>
      <c r="AA55" s="95"/>
    </row>
    <row r="56" spans="1:27" ht="14.25" customHeight="1">
      <c r="A56" s="286" t="s">
        <v>95</v>
      </c>
      <c r="B56" s="287"/>
      <c r="C56" s="167">
        <v>0</v>
      </c>
      <c r="D56" s="168">
        <f>SUM(B15:E15)</f>
        <v>6300</v>
      </c>
      <c r="E56" s="169">
        <f>C56*D56</f>
        <v>0</v>
      </c>
      <c r="F56" s="177">
        <f t="shared" ref="F56:F57" si="7">IF($C$13=0,E56*(1.055*$B$14)/$B$6,E56*(1.2*($C$14*$D$12/$C$13)+1.055*($B$14+$C$14*SUM($D$9:$D$11)/$C$13))/$B$6)</f>
        <v>0</v>
      </c>
      <c r="G56" s="174" t="str">
        <f>"TVA moyenne de "&amp;IF(E56=0,"",ROUND(100*(F56/E56-1),2))&amp;"% (prorata SdP)"</f>
        <v>TVA moyenne de % (prorata SdP)</v>
      </c>
    </row>
    <row r="57" spans="1:27" ht="14.25" customHeight="1">
      <c r="A57" s="310" t="s">
        <v>96</v>
      </c>
      <c r="B57" s="311"/>
      <c r="C57" s="165">
        <v>0</v>
      </c>
      <c r="D57" s="166">
        <v>0</v>
      </c>
      <c r="E57" s="97">
        <f>C57*D57</f>
        <v>0</v>
      </c>
      <c r="F57" s="176">
        <f t="shared" si="7"/>
        <v>0</v>
      </c>
      <c r="G57" s="180" t="str">
        <f>"TVA moyenne de "&amp;IF(E57=0,"",ROUND((F57/E57-1)*100,2))&amp;" % (prorata nb places)"</f>
        <v>TVA moyenne de  % (prorata nb places)</v>
      </c>
    </row>
    <row r="58" spans="1:27" ht="14.25" customHeight="1">
      <c r="A58" s="85" t="s">
        <v>97</v>
      </c>
      <c r="B58" s="85"/>
      <c r="C58" s="104"/>
      <c r="D58" s="94"/>
      <c r="E58" s="86">
        <f t="shared" ref="E58:F58" si="8">SUM(E59:E63)</f>
        <v>0</v>
      </c>
      <c r="F58" s="86">
        <f t="shared" si="8"/>
        <v>0</v>
      </c>
      <c r="G58" s="207">
        <f>F58/$F$64</f>
        <v>0</v>
      </c>
      <c r="H58" s="1"/>
      <c r="I58" s="1"/>
      <c r="J58" s="1"/>
      <c r="K58" s="1"/>
      <c r="L58" s="1"/>
      <c r="M58" s="1"/>
      <c r="N58" s="1"/>
      <c r="O58" s="1"/>
      <c r="P58" s="1"/>
      <c r="Q58" s="1"/>
      <c r="R58" s="1"/>
      <c r="S58" s="1"/>
      <c r="T58" s="1"/>
      <c r="U58" s="1"/>
      <c r="V58" s="1"/>
      <c r="W58" s="1"/>
      <c r="X58" s="1"/>
      <c r="Y58" s="1"/>
      <c r="Z58" s="1"/>
      <c r="AA58" s="1"/>
    </row>
    <row r="59" spans="1:27" ht="14.25" customHeight="1">
      <c r="A59" s="312" t="s">
        <v>98</v>
      </c>
      <c r="B59" s="313"/>
      <c r="C59" s="170">
        <v>0</v>
      </c>
      <c r="D59" s="208" t="s">
        <v>171</v>
      </c>
      <c r="E59" s="171">
        <f>C59*$E$54</f>
        <v>0</v>
      </c>
      <c r="F59" s="175">
        <f>IF($C$13=0,E59*(1.055*$B$14)/$B$6,E59*(1.2*($C$14*$D$12/$C$13)+1.055*($B$14+$C$14*SUM($D$9:$D$11)/$C$13))/$B$6)</f>
        <v>0</v>
      </c>
      <c r="G59" s="172" t="str">
        <f>"TVA moyenne de "&amp;IF(E59=0,"",ROUND(100*(F59/E59-1),2))&amp;"% (prorata SdP)"</f>
        <v>TVA moyenne de % (prorata SdP)</v>
      </c>
      <c r="H59" s="90"/>
      <c r="I59" s="90"/>
      <c r="J59" s="90"/>
      <c r="K59" s="90"/>
      <c r="L59" s="90"/>
      <c r="M59" s="90"/>
      <c r="N59" s="90"/>
      <c r="O59" s="90"/>
      <c r="P59" s="90"/>
      <c r="Q59" s="90"/>
      <c r="R59" s="90"/>
      <c r="S59" s="90"/>
      <c r="T59" s="90"/>
      <c r="U59" s="90"/>
      <c r="V59" s="90"/>
      <c r="W59" s="90"/>
      <c r="X59" s="90"/>
      <c r="Y59" s="90"/>
      <c r="Z59" s="90"/>
      <c r="AA59" s="90"/>
    </row>
    <row r="60" spans="1:27" ht="14.25" customHeight="1">
      <c r="A60" s="286" t="s">
        <v>99</v>
      </c>
      <c r="B60" s="287"/>
      <c r="C60" s="173">
        <v>0</v>
      </c>
      <c r="D60" s="209" t="s">
        <v>171</v>
      </c>
      <c r="E60" s="171">
        <f t="shared" ref="E60:E63" si="9">C60*$E$54</f>
        <v>0</v>
      </c>
      <c r="F60" s="177">
        <f t="shared" ref="F60:F63" si="10">IF($C$13=0,E60*(1.055*$B$14)/$B$6,E60*(1.2*($C$14*$D$12/$C$13)+1.055*($B$14+$C$14*SUM($D$9:$D$11)/$C$13))/$B$6)</f>
        <v>0</v>
      </c>
      <c r="G60" s="172" t="str">
        <f t="shared" ref="G60:G63" si="11">"TVA moyenne de "&amp;IF(E60=0,"",ROUND(100*(F60/E60-1),2))&amp;"% (prorata SdP)"</f>
        <v>TVA moyenne de % (prorata SdP)</v>
      </c>
      <c r="H60" s="90"/>
      <c r="I60" s="90"/>
      <c r="J60" s="90"/>
      <c r="K60" s="90"/>
      <c r="L60" s="90"/>
      <c r="M60" s="90"/>
      <c r="N60" s="90"/>
      <c r="O60" s="90"/>
      <c r="P60" s="90"/>
      <c r="Q60" s="90"/>
      <c r="R60" s="90"/>
      <c r="S60" s="90"/>
      <c r="T60" s="90"/>
      <c r="U60" s="90"/>
      <c r="V60" s="90"/>
      <c r="W60" s="90"/>
      <c r="X60" s="90"/>
      <c r="Y60" s="90"/>
      <c r="Z60" s="90"/>
      <c r="AA60" s="90"/>
    </row>
    <row r="61" spans="1:27" ht="14.25" customHeight="1">
      <c r="A61" s="286" t="s">
        <v>100</v>
      </c>
      <c r="B61" s="287"/>
      <c r="C61" s="173">
        <v>0</v>
      </c>
      <c r="D61" s="209" t="s">
        <v>171</v>
      </c>
      <c r="E61" s="171">
        <f t="shared" si="9"/>
        <v>0</v>
      </c>
      <c r="F61" s="177">
        <f t="shared" si="10"/>
        <v>0</v>
      </c>
      <c r="G61" s="172" t="str">
        <f t="shared" si="11"/>
        <v>TVA moyenne de % (prorata SdP)</v>
      </c>
      <c r="H61" s="90"/>
      <c r="I61" s="90"/>
      <c r="J61" s="90"/>
      <c r="K61" s="90"/>
      <c r="L61" s="90"/>
      <c r="M61" s="90"/>
      <c r="N61" s="90"/>
      <c r="O61" s="90"/>
      <c r="P61" s="90"/>
      <c r="Q61" s="90"/>
      <c r="R61" s="90"/>
      <c r="S61" s="90"/>
      <c r="T61" s="90"/>
      <c r="U61" s="90"/>
      <c r="V61" s="90"/>
      <c r="W61" s="90"/>
      <c r="X61" s="90"/>
      <c r="Y61" s="90"/>
      <c r="Z61" s="90"/>
      <c r="AA61" s="90"/>
    </row>
    <row r="62" spans="1:27" ht="14.25" customHeight="1">
      <c r="A62" s="286" t="s">
        <v>101</v>
      </c>
      <c r="B62" s="287"/>
      <c r="C62" s="173">
        <v>0</v>
      </c>
      <c r="D62" s="209" t="s">
        <v>171</v>
      </c>
      <c r="E62" s="171">
        <f t="shared" si="9"/>
        <v>0</v>
      </c>
      <c r="F62" s="177">
        <f t="shared" si="10"/>
        <v>0</v>
      </c>
      <c r="G62" s="172" t="str">
        <f t="shared" si="11"/>
        <v>TVA moyenne de % (prorata SdP)</v>
      </c>
      <c r="H62" s="90"/>
      <c r="I62" s="90"/>
      <c r="J62" s="90"/>
      <c r="K62" s="90"/>
      <c r="L62" s="90"/>
      <c r="M62" s="90"/>
      <c r="N62" s="90"/>
      <c r="O62" s="90"/>
      <c r="P62" s="90"/>
      <c r="Q62" s="90"/>
      <c r="R62" s="90"/>
      <c r="S62" s="90"/>
      <c r="T62" s="90"/>
      <c r="U62" s="90"/>
      <c r="V62" s="90"/>
      <c r="W62" s="90"/>
      <c r="X62" s="90"/>
      <c r="Y62" s="90"/>
      <c r="Z62" s="90"/>
      <c r="AA62" s="90"/>
    </row>
    <row r="63" spans="1:27" ht="14.25" customHeight="1">
      <c r="A63" s="288" t="s">
        <v>102</v>
      </c>
      <c r="B63" s="289"/>
      <c r="C63" s="110">
        <v>0</v>
      </c>
      <c r="D63" s="210" t="s">
        <v>171</v>
      </c>
      <c r="E63" s="171">
        <f t="shared" si="9"/>
        <v>0</v>
      </c>
      <c r="F63" s="176">
        <f t="shared" si="10"/>
        <v>0</v>
      </c>
      <c r="G63" s="98" t="str">
        <f t="shared" si="11"/>
        <v>TVA moyenne de % (prorata SdP)</v>
      </c>
      <c r="H63" s="90"/>
      <c r="I63" s="90"/>
      <c r="J63" s="90"/>
      <c r="K63" s="90"/>
      <c r="L63" s="90"/>
      <c r="M63" s="90"/>
      <c r="N63" s="90"/>
      <c r="O63" s="90"/>
      <c r="P63" s="90"/>
      <c r="Q63" s="90"/>
      <c r="R63" s="90"/>
      <c r="S63" s="90"/>
      <c r="T63" s="90"/>
      <c r="U63" s="90"/>
      <c r="V63" s="90"/>
      <c r="W63" s="90"/>
      <c r="X63" s="90"/>
      <c r="Y63" s="90"/>
      <c r="Z63" s="90"/>
      <c r="AA63" s="90"/>
    </row>
    <row r="64" spans="1:27" ht="14.25" customHeight="1">
      <c r="A64" s="99" t="s">
        <v>169</v>
      </c>
      <c r="B64" s="99"/>
      <c r="C64" s="105"/>
      <c r="D64" s="100"/>
      <c r="E64" s="101">
        <f>SUM(E47,E54,E58)</f>
        <v>1881250</v>
      </c>
      <c r="F64" s="101">
        <f>SUM(F47,F54,F58)</f>
        <v>1984718.75</v>
      </c>
      <c r="G64" s="102"/>
      <c r="H64" s="9"/>
      <c r="I64" s="9"/>
      <c r="J64" s="9"/>
      <c r="K64" s="9"/>
      <c r="L64" s="9"/>
      <c r="M64" s="9"/>
      <c r="N64" s="9"/>
      <c r="O64" s="9"/>
      <c r="P64" s="9"/>
      <c r="Q64" s="9"/>
      <c r="R64" s="9"/>
      <c r="S64" s="9"/>
      <c r="T64" s="9"/>
      <c r="U64" s="9"/>
      <c r="V64" s="9"/>
      <c r="W64" s="9"/>
      <c r="X64" s="9"/>
      <c r="Y64" s="9"/>
      <c r="Z64" s="9"/>
      <c r="AA64" s="9"/>
    </row>
    <row r="65" spans="1:27" ht="14.25" customHeight="1">
      <c r="A65" s="85" t="s">
        <v>168</v>
      </c>
      <c r="B65" s="85"/>
      <c r="C65" s="211"/>
      <c r="D65" s="85"/>
      <c r="E65" s="86">
        <f>SUM(E66:E70)</f>
        <v>6451005</v>
      </c>
      <c r="F65" s="86">
        <f>SUM(F66:F70)</f>
        <v>6805810.2750000004</v>
      </c>
      <c r="G65" s="212"/>
      <c r="H65" s="1"/>
      <c r="I65" s="1"/>
      <c r="J65" s="1"/>
      <c r="K65" s="1"/>
      <c r="L65" s="1"/>
      <c r="M65" s="1"/>
      <c r="N65" s="1"/>
      <c r="O65" s="1"/>
      <c r="P65" s="1"/>
      <c r="Q65" s="1"/>
      <c r="R65" s="1"/>
      <c r="S65" s="1"/>
      <c r="T65" s="1"/>
      <c r="U65" s="1"/>
      <c r="V65" s="1"/>
      <c r="W65" s="1"/>
      <c r="X65" s="1"/>
      <c r="Y65" s="1"/>
      <c r="Z65" s="1"/>
      <c r="AA65" s="1"/>
    </row>
    <row r="66" spans="1:27" ht="14.25" customHeight="1">
      <c r="A66" s="310" t="s">
        <v>103</v>
      </c>
      <c r="B66" s="311"/>
      <c r="C66" s="213">
        <f>3338*0.8</f>
        <v>2670.4</v>
      </c>
      <c r="D66" s="96">
        <f>IF($C$13=0,0,C16*$D$9/$C$13)</f>
        <v>1012.5</v>
      </c>
      <c r="E66" s="97">
        <f>C66*D66</f>
        <v>2703780</v>
      </c>
      <c r="F66" s="97">
        <f>1.055*E66</f>
        <v>2852487.9</v>
      </c>
      <c r="G66" s="214" t="s">
        <v>89</v>
      </c>
    </row>
    <row r="67" spans="1:27" ht="14.25" customHeight="1">
      <c r="A67" s="368" t="s">
        <v>104</v>
      </c>
      <c r="B67" s="369"/>
      <c r="C67" s="215">
        <f>C50</f>
        <v>350</v>
      </c>
      <c r="D67" s="216">
        <f>IF($C$13=0,0,C14*$D$9/$C$13)</f>
        <v>1050</v>
      </c>
      <c r="E67" s="175">
        <f>C67*D67</f>
        <v>367500</v>
      </c>
      <c r="F67" s="175">
        <f>E67*1.055</f>
        <v>387712.5</v>
      </c>
      <c r="G67" s="217" t="s">
        <v>89</v>
      </c>
    </row>
    <row r="68" spans="1:27" ht="14.25" customHeight="1">
      <c r="A68" s="370" t="s">
        <v>105</v>
      </c>
      <c r="B68" s="371"/>
      <c r="C68" s="218">
        <v>3338</v>
      </c>
      <c r="D68" s="219">
        <f>IF($C$13=0,0,C16*SUM($D$10:$D$11)/$C$13)</f>
        <v>1012.5</v>
      </c>
      <c r="E68" s="177">
        <f>C68*D68</f>
        <v>3379725</v>
      </c>
      <c r="F68" s="177">
        <f>1.055*E68</f>
        <v>3565609.875</v>
      </c>
      <c r="G68" s="220" t="s">
        <v>89</v>
      </c>
    </row>
    <row r="69" spans="1:27" ht="14.25" customHeight="1">
      <c r="A69" s="370" t="s">
        <v>106</v>
      </c>
      <c r="B69" s="371"/>
      <c r="C69" s="221">
        <v>3000</v>
      </c>
      <c r="D69" s="219">
        <f>IF($C$13=0,0,C15*$D$12/$C$13+4.5*ROUND($C$18*$D$12/$C$13,0))</f>
        <v>0</v>
      </c>
      <c r="E69" s="177">
        <f>F69/1.2</f>
        <v>0</v>
      </c>
      <c r="F69" s="177">
        <f>D69*C69</f>
        <v>0</v>
      </c>
      <c r="G69" s="220" t="s">
        <v>91</v>
      </c>
    </row>
    <row r="70" spans="1:27" ht="14.25" customHeight="1">
      <c r="A70" s="372" t="s">
        <v>107</v>
      </c>
      <c r="B70" s="373"/>
      <c r="C70" s="178">
        <v>0</v>
      </c>
      <c r="D70" s="222">
        <f>SUM(B19:E19)</f>
        <v>56</v>
      </c>
      <c r="E70" s="223">
        <f>IF($C$13=0,F70/1.055,F70/((1.2*($C$19*$D$12/$C$13)+1.055*($B$19+$C$19*SUM($D$9:$D$11)/$C$13))/($B$19+$C$19)))</f>
        <v>0</v>
      </c>
      <c r="F70" s="176">
        <f>C70*SUM(B19:F19)</f>
        <v>0</v>
      </c>
      <c r="G70" s="224" t="str">
        <f>"TVA moyenne de "&amp;IF(E70=0,"",ROUND(100*(F70/E70-1),2))&amp;"% (prorata nb places)"</f>
        <v>TVA moyenne de % (prorata nb places)</v>
      </c>
    </row>
    <row r="71" spans="1:27" ht="14.25" customHeight="1">
      <c r="A71" s="99" t="s">
        <v>108</v>
      </c>
      <c r="B71" s="99"/>
      <c r="C71" s="225"/>
      <c r="D71" s="99"/>
      <c r="E71" s="101">
        <f>E65</f>
        <v>6451005</v>
      </c>
      <c r="F71" s="101">
        <f t="shared" ref="F71" si="12">F65</f>
        <v>6805810.2750000004</v>
      </c>
      <c r="G71" s="102"/>
      <c r="H71" s="9"/>
      <c r="I71" s="9"/>
      <c r="J71" s="9"/>
      <c r="K71" s="9"/>
      <c r="L71" s="9"/>
      <c r="M71" s="9"/>
      <c r="N71" s="9"/>
      <c r="O71" s="9"/>
      <c r="P71" s="9"/>
      <c r="Q71" s="9"/>
      <c r="R71" s="9"/>
      <c r="S71" s="9"/>
      <c r="T71" s="9"/>
      <c r="U71" s="9"/>
      <c r="V71" s="9"/>
      <c r="W71" s="9"/>
      <c r="X71" s="9"/>
      <c r="Y71" s="9"/>
      <c r="Z71" s="9"/>
      <c r="AA71" s="9"/>
    </row>
    <row r="72" spans="1:27" ht="14.25" customHeight="1">
      <c r="A72" s="5"/>
      <c r="B72" s="5"/>
      <c r="C72" s="5"/>
      <c r="D72" s="5"/>
      <c r="E72" s="5"/>
      <c r="F72" s="5"/>
      <c r="G72" s="5"/>
    </row>
    <row r="73" spans="1:27" ht="21">
      <c r="A73" s="299" t="s">
        <v>109</v>
      </c>
      <c r="B73" s="299"/>
      <c r="C73" s="299"/>
      <c r="D73" s="299"/>
      <c r="E73" s="299"/>
      <c r="F73" s="299"/>
      <c r="G73" s="299"/>
      <c r="H73" s="114"/>
      <c r="I73" s="114"/>
      <c r="J73" s="114"/>
      <c r="K73" s="114"/>
      <c r="L73" s="114"/>
      <c r="M73" s="114"/>
      <c r="N73" s="114"/>
      <c r="O73" s="114"/>
      <c r="P73" s="114"/>
      <c r="Q73" s="114"/>
      <c r="R73" s="114"/>
      <c r="S73" s="114"/>
      <c r="T73" s="114"/>
      <c r="U73" s="114"/>
      <c r="V73" s="114"/>
      <c r="W73" s="114"/>
      <c r="X73" s="114"/>
      <c r="Y73" s="114"/>
      <c r="Z73" s="114"/>
    </row>
    <row r="74" spans="1:27" ht="44.25" customHeight="1">
      <c r="A74" s="314" t="s">
        <v>110</v>
      </c>
      <c r="B74" s="303"/>
      <c r="C74" s="290"/>
      <c r="D74" s="291"/>
      <c r="E74" s="291"/>
      <c r="F74" s="291"/>
      <c r="G74" s="292"/>
      <c r="H74" s="46"/>
      <c r="I74" s="46"/>
      <c r="J74" s="46"/>
      <c r="K74" s="46"/>
      <c r="L74" s="46"/>
      <c r="M74" s="46"/>
      <c r="N74" s="46"/>
      <c r="O74" s="46"/>
      <c r="P74" s="46"/>
      <c r="Q74" s="46"/>
      <c r="R74" s="46"/>
      <c r="S74" s="46"/>
      <c r="T74" s="46"/>
      <c r="U74" s="46"/>
      <c r="V74" s="46"/>
      <c r="W74" s="46"/>
      <c r="X74" s="46"/>
      <c r="Y74" s="46"/>
      <c r="Z74" s="46"/>
      <c r="AA74" s="46"/>
    </row>
    <row r="75" spans="1:27" ht="44.25" customHeight="1">
      <c r="A75" s="315" t="s">
        <v>170</v>
      </c>
      <c r="B75" s="303"/>
      <c r="C75" s="290"/>
      <c r="D75" s="291"/>
      <c r="E75" s="291"/>
      <c r="F75" s="291"/>
      <c r="G75" s="292"/>
      <c r="H75" s="46"/>
      <c r="I75" s="46"/>
      <c r="J75" s="46"/>
      <c r="K75" s="46"/>
      <c r="L75" s="46"/>
      <c r="M75" s="46"/>
      <c r="N75" s="46"/>
      <c r="O75" s="46"/>
      <c r="P75" s="46"/>
      <c r="Q75" s="46"/>
      <c r="R75" s="46"/>
      <c r="S75" s="46"/>
      <c r="T75" s="46"/>
      <c r="U75" s="46"/>
      <c r="V75" s="46"/>
      <c r="W75" s="46"/>
      <c r="X75" s="46"/>
      <c r="Y75" s="46"/>
      <c r="Z75" s="46"/>
      <c r="AA75" s="46"/>
    </row>
    <row r="76" spans="1:27" ht="48" customHeight="1">
      <c r="A76" s="367" t="s">
        <v>111</v>
      </c>
      <c r="B76" s="367"/>
      <c r="C76" s="290"/>
      <c r="D76" s="291"/>
      <c r="E76" s="291"/>
      <c r="F76" s="291"/>
      <c r="G76" s="292"/>
      <c r="H76" s="46"/>
      <c r="I76" s="46"/>
      <c r="J76" s="46"/>
      <c r="K76" s="46"/>
      <c r="L76" s="46"/>
      <c r="M76" s="46"/>
      <c r="N76" s="46"/>
      <c r="O76" s="46"/>
      <c r="P76" s="46"/>
      <c r="Q76" s="46"/>
      <c r="R76" s="46"/>
      <c r="S76" s="46"/>
      <c r="T76" s="46"/>
      <c r="U76" s="46"/>
      <c r="V76" s="46"/>
      <c r="W76" s="46"/>
      <c r="X76" s="46"/>
      <c r="Y76" s="46"/>
      <c r="Z76" s="46"/>
      <c r="AA76" s="46"/>
    </row>
    <row r="77" spans="1:27" ht="75.75" customHeight="1">
      <c r="A77" s="302" t="s">
        <v>112</v>
      </c>
      <c r="B77" s="303"/>
      <c r="C77" s="290"/>
      <c r="D77" s="291"/>
      <c r="E77" s="291"/>
      <c r="F77" s="291"/>
      <c r="G77" s="292"/>
      <c r="H77" s="46"/>
      <c r="I77" s="46"/>
      <c r="J77" s="46"/>
      <c r="K77" s="46"/>
      <c r="L77" s="46"/>
      <c r="M77" s="46"/>
      <c r="N77" s="46"/>
      <c r="O77" s="46"/>
      <c r="P77" s="46"/>
      <c r="Q77" s="46"/>
      <c r="R77" s="46"/>
      <c r="S77" s="46"/>
      <c r="T77" s="46"/>
      <c r="U77" s="46"/>
      <c r="V77" s="46"/>
      <c r="W77" s="46"/>
      <c r="X77" s="46"/>
      <c r="Y77" s="46"/>
      <c r="Z77" s="46"/>
      <c r="AA77" s="46"/>
    </row>
    <row r="78" spans="1:27" ht="48.75" customHeight="1">
      <c r="A78" s="302" t="s">
        <v>113</v>
      </c>
      <c r="B78" s="303"/>
      <c r="C78" s="290"/>
      <c r="D78" s="291"/>
      <c r="E78" s="291"/>
      <c r="F78" s="291"/>
      <c r="G78" s="292"/>
      <c r="H78" s="46"/>
      <c r="I78" s="46"/>
      <c r="J78" s="46"/>
      <c r="K78" s="46"/>
      <c r="L78" s="46"/>
      <c r="M78" s="46"/>
      <c r="N78" s="46"/>
      <c r="O78" s="46"/>
      <c r="P78" s="46"/>
      <c r="Q78" s="46"/>
      <c r="R78" s="46"/>
      <c r="S78" s="46"/>
      <c r="T78" s="46"/>
      <c r="U78" s="46"/>
      <c r="V78" s="46"/>
      <c r="W78" s="46"/>
      <c r="X78" s="46"/>
      <c r="Y78" s="46"/>
      <c r="Z78" s="46"/>
      <c r="AA78" s="46"/>
    </row>
    <row r="79" spans="1:27" ht="44.25" customHeight="1">
      <c r="A79" s="302" t="s">
        <v>114</v>
      </c>
      <c r="B79" s="303"/>
      <c r="C79" s="290"/>
      <c r="D79" s="291"/>
      <c r="E79" s="291"/>
      <c r="F79" s="291"/>
      <c r="G79" s="292"/>
      <c r="H79" s="46"/>
      <c r="I79" s="46"/>
      <c r="J79" s="46"/>
      <c r="K79" s="46"/>
      <c r="L79" s="46"/>
      <c r="M79" s="46"/>
      <c r="N79" s="46"/>
      <c r="O79" s="46"/>
      <c r="P79" s="46"/>
      <c r="Q79" s="46"/>
      <c r="R79" s="46"/>
      <c r="S79" s="46"/>
      <c r="T79" s="46"/>
      <c r="U79" s="46"/>
      <c r="V79" s="46"/>
      <c r="W79" s="46"/>
      <c r="X79" s="46"/>
      <c r="Y79" s="46"/>
      <c r="Z79" s="46"/>
      <c r="AA79" s="46"/>
    </row>
    <row r="80" spans="1:27"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5" customHeight="1"/>
    <row r="995" ht="15" customHeight="1"/>
    <row r="996" ht="15" customHeight="1"/>
    <row r="997" ht="15" customHeight="1"/>
    <row r="998" ht="15" customHeight="1"/>
    <row r="999" ht="15" customHeight="1"/>
    <row r="1000" ht="15" customHeight="1"/>
    <row r="1001" ht="15" customHeight="1"/>
  </sheetData>
  <sheetProtection algorithmName="SHA-512" hashValue="fM/rbCuqLvaQZOn5PqJEKHxV10wKaS3GPBVEJ0NW6zY6T7ptozWiBCXFAtXBk/1Cq8uzWwX6cMgjr/vo0l5/uQ==" saltValue="LQKM/8S4lysnoNOQLA78hg==" spinCount="100000" sheet="1" objects="1" scenarios="1"/>
  <mergeCells count="74">
    <mergeCell ref="A77:B77"/>
    <mergeCell ref="C77:G77"/>
    <mergeCell ref="A78:B78"/>
    <mergeCell ref="C78:G78"/>
    <mergeCell ref="A79:B79"/>
    <mergeCell ref="C79:G79"/>
    <mergeCell ref="A76:B76"/>
    <mergeCell ref="C76:G76"/>
    <mergeCell ref="A63:B63"/>
    <mergeCell ref="A66:B66"/>
    <mergeCell ref="A67:B67"/>
    <mergeCell ref="A68:B68"/>
    <mergeCell ref="A69:B69"/>
    <mergeCell ref="A70:B70"/>
    <mergeCell ref="A73:G73"/>
    <mergeCell ref="A74:B74"/>
    <mergeCell ref="C74:G74"/>
    <mergeCell ref="A75:B75"/>
    <mergeCell ref="C75:G75"/>
    <mergeCell ref="A62:B62"/>
    <mergeCell ref="A49:B49"/>
    <mergeCell ref="A50:B50"/>
    <mergeCell ref="A51:B51"/>
    <mergeCell ref="A52:B52"/>
    <mergeCell ref="A53:B53"/>
    <mergeCell ref="A55:B55"/>
    <mergeCell ref="A56:B56"/>
    <mergeCell ref="A57:B57"/>
    <mergeCell ref="A59:B59"/>
    <mergeCell ref="A60:B60"/>
    <mergeCell ref="A61:B61"/>
    <mergeCell ref="A48:B48"/>
    <mergeCell ref="E34:G34"/>
    <mergeCell ref="A36:A37"/>
    <mergeCell ref="B36:B37"/>
    <mergeCell ref="E36:G36"/>
    <mergeCell ref="E37:G37"/>
    <mergeCell ref="A38:A40"/>
    <mergeCell ref="B38:B40"/>
    <mergeCell ref="E38:G38"/>
    <mergeCell ref="E39:G39"/>
    <mergeCell ref="E40:G40"/>
    <mergeCell ref="A41:A42"/>
    <mergeCell ref="E41:G41"/>
    <mergeCell ref="E42:G42"/>
    <mergeCell ref="B43:G43"/>
    <mergeCell ref="A45:G45"/>
    <mergeCell ref="E33:G33"/>
    <mergeCell ref="C19:D19"/>
    <mergeCell ref="A20:A21"/>
    <mergeCell ref="C20:D21"/>
    <mergeCell ref="A23:G23"/>
    <mergeCell ref="E24:G24"/>
    <mergeCell ref="E25:G25"/>
    <mergeCell ref="E27:G27"/>
    <mergeCell ref="E28:G28"/>
    <mergeCell ref="E29:G29"/>
    <mergeCell ref="E30:G30"/>
    <mergeCell ref="E32:G32"/>
    <mergeCell ref="C18:D18"/>
    <mergeCell ref="C1:D1"/>
    <mergeCell ref="C2:D3"/>
    <mergeCell ref="E2:E3"/>
    <mergeCell ref="A5:G5"/>
    <mergeCell ref="B8:B12"/>
    <mergeCell ref="C8:D8"/>
    <mergeCell ref="E8:E12"/>
    <mergeCell ref="F8:F12"/>
    <mergeCell ref="G8:G12"/>
    <mergeCell ref="C13:D13"/>
    <mergeCell ref="C14:D14"/>
    <mergeCell ref="C15:D15"/>
    <mergeCell ref="C16:D16"/>
    <mergeCell ref="C17:D17"/>
  </mergeCells>
  <dataValidations count="5">
    <dataValidation allowBlank="1" showErrorMessage="1" promptTitle="Choisir entre options" prompt="   - 2 250 € sans pk ou avec pk aérien_x000a_   - 2 300 € avec pk en ouvrage" sqref="B20" xr:uid="{72F830B9-00D0-4FFA-B419-15D6CB79D980}"/>
    <dataValidation type="whole" operator="lessThanOrEqual" allowBlank="1" showInputMessage="1" showErrorMessage="1" error="23 800 € TTC max" prompt="23 800 € TTC max" sqref="C70" xr:uid="{1D78C854-8FDA-4576-98C3-7CAC489D8FE7}">
      <formula1>23800</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57" xr:uid="{5D16A3A5-86C5-4FE6-BDF4-9491E9E1976F}">
      <formula1>SUM(B19,C19,E19,F19)</formula1>
    </dataValidation>
    <dataValidation type="list" allowBlank="1" showInputMessage="1" showErrorMessage="1" sqref="D25 D27:D30 D32:D34 D36:D42" xr:uid="{7F91AFD8-DAEA-4F15-B016-1E014CA87122}">
      <formula1>"OUI,NON"</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3" xr:uid="{32B9B935-7556-4D81-A423-72266590CAC4}">
      <formula1>"18300,21650"</formula1>
    </dataValidation>
  </dataValidations>
  <pageMargins left="0.23622047244094488" right="0.23622047244094488" top="0.74803149606299213" bottom="0.74803149606299213" header="0" footer="0"/>
  <pageSetup paperSize="8" scale="56"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83F94-E1A8-41B5-A2B3-E89746406577}">
  <sheetPr>
    <pageSetUpPr fitToPage="1"/>
  </sheetPr>
  <dimension ref="A1:AA1001"/>
  <sheetViews>
    <sheetView workbookViewId="0">
      <pane ySplit="3" topLeftCell="A4" activePane="bottomLeft" state="frozenSplit"/>
      <selection pane="bottomLeft" activeCell="D9" sqref="D9"/>
    </sheetView>
  </sheetViews>
  <sheetFormatPr baseColWidth="10" defaultColWidth="14.42578125" defaultRowHeight="15"/>
  <cols>
    <col min="1" max="1" width="48.42578125" bestFit="1" customWidth="1"/>
    <col min="2" max="2" width="31.140625" bestFit="1" customWidth="1"/>
    <col min="3" max="3" width="40.28515625" bestFit="1" customWidth="1"/>
    <col min="4" max="4" width="18.28515625" bestFit="1" customWidth="1"/>
    <col min="5" max="6" width="31.28515625" customWidth="1"/>
    <col min="7" max="7" width="53.5703125" customWidth="1"/>
    <col min="8" max="8" width="56.28515625" customWidth="1"/>
    <col min="9" max="27" width="10.7109375" customWidth="1"/>
  </cols>
  <sheetData>
    <row r="1" spans="1:27" ht="86.25" customHeight="1" thickBot="1">
      <c r="A1" s="228" t="s">
        <v>172</v>
      </c>
      <c r="B1" s="229" t="s">
        <v>115</v>
      </c>
      <c r="C1" s="374"/>
      <c r="D1" s="343"/>
      <c r="E1" s="187"/>
      <c r="F1" s="12"/>
      <c r="G1" s="103"/>
      <c r="H1" s="13"/>
      <c r="I1" s="13"/>
      <c r="J1" s="13"/>
    </row>
    <row r="2" spans="1:27" ht="14.25" customHeight="1" thickBot="1">
      <c r="A2" s="230" t="str">
        <f>B8</f>
        <v>Locatif social</v>
      </c>
      <c r="B2" s="231">
        <v>0.5</v>
      </c>
      <c r="C2" s="375"/>
      <c r="D2" s="345"/>
      <c r="E2" s="349"/>
      <c r="F2" s="16"/>
      <c r="G2" s="5"/>
      <c r="H2" s="13"/>
      <c r="I2" s="13"/>
      <c r="J2" s="13"/>
    </row>
    <row r="3" spans="1:27" ht="14.25" customHeight="1" thickBot="1">
      <c r="A3" s="232" t="str">
        <f>C8</f>
        <v>Accession encadrée</v>
      </c>
      <c r="B3" s="233">
        <v>0.5</v>
      </c>
      <c r="C3" s="356"/>
      <c r="D3" s="345"/>
      <c r="E3" s="350"/>
      <c r="F3" s="5"/>
      <c r="G3" s="5"/>
      <c r="H3" s="13"/>
      <c r="I3" s="13"/>
      <c r="J3" s="13"/>
    </row>
    <row r="4" spans="1:27" ht="14.25" customHeight="1">
      <c r="A4" s="19"/>
      <c r="B4" s="19"/>
      <c r="C4" s="5"/>
      <c r="D4" s="5"/>
      <c r="E4" s="5"/>
      <c r="F4" s="5"/>
      <c r="G4" s="5"/>
      <c r="H4" s="13"/>
      <c r="I4" s="13"/>
      <c r="J4" s="13"/>
    </row>
    <row r="5" spans="1:27" ht="21">
      <c r="A5" s="299" t="s">
        <v>30</v>
      </c>
      <c r="B5" s="299"/>
      <c r="C5" s="299"/>
      <c r="D5" s="299"/>
      <c r="E5" s="299"/>
      <c r="F5" s="299"/>
      <c r="G5" s="299"/>
      <c r="H5" s="114"/>
      <c r="I5" s="114"/>
      <c r="J5" s="114"/>
      <c r="K5" s="114"/>
      <c r="L5" s="114"/>
      <c r="M5" s="114"/>
      <c r="N5" s="114"/>
      <c r="O5" s="114"/>
      <c r="P5" s="114"/>
      <c r="Q5" s="114"/>
      <c r="R5" s="114"/>
      <c r="S5" s="114"/>
      <c r="T5" s="114"/>
      <c r="U5" s="114"/>
      <c r="V5" s="114"/>
      <c r="W5" s="114"/>
      <c r="X5" s="114"/>
      <c r="Y5" s="114"/>
      <c r="Z5" s="114"/>
    </row>
    <row r="6" spans="1:27" ht="14.25" customHeight="1">
      <c r="A6" s="20" t="s">
        <v>31</v>
      </c>
      <c r="B6" s="21">
        <v>7000</v>
      </c>
      <c r="C6" s="22"/>
      <c r="D6" s="3"/>
      <c r="E6" s="23"/>
      <c r="F6" s="24"/>
      <c r="G6" s="24"/>
      <c r="H6" s="25"/>
      <c r="I6" s="26"/>
      <c r="J6" s="27"/>
      <c r="K6" s="3"/>
      <c r="L6" s="3"/>
      <c r="M6" s="3"/>
      <c r="N6" s="3"/>
      <c r="O6" s="3"/>
      <c r="P6" s="3"/>
      <c r="Q6" s="3"/>
      <c r="R6" s="3"/>
      <c r="S6" s="3"/>
      <c r="T6" s="3"/>
      <c r="U6" s="3"/>
      <c r="V6" s="3"/>
      <c r="W6" s="3"/>
      <c r="X6" s="3"/>
      <c r="Y6" s="3"/>
      <c r="Z6" s="3"/>
      <c r="AA6" s="3"/>
    </row>
    <row r="7" spans="1:27" ht="14.25" customHeight="1">
      <c r="A7" s="20" t="s">
        <v>32</v>
      </c>
      <c r="B7" s="6">
        <v>100</v>
      </c>
      <c r="C7" s="22"/>
      <c r="D7" s="3"/>
      <c r="E7" s="23"/>
      <c r="F7" s="24"/>
      <c r="G7" s="24"/>
      <c r="H7" s="25"/>
      <c r="I7" s="26"/>
      <c r="J7" s="27"/>
      <c r="K7" s="3"/>
      <c r="L7" s="3"/>
      <c r="M7" s="3"/>
      <c r="N7" s="3"/>
      <c r="O7" s="3"/>
      <c r="P7" s="3"/>
      <c r="Q7" s="3"/>
      <c r="R7" s="3"/>
      <c r="S7" s="3"/>
      <c r="T7" s="3"/>
      <c r="U7" s="3"/>
      <c r="V7" s="3"/>
      <c r="W7" s="3"/>
      <c r="X7" s="3"/>
      <c r="Y7" s="3"/>
      <c r="Z7" s="3"/>
      <c r="AA7" s="3"/>
    </row>
    <row r="8" spans="1:27" ht="14.25" customHeight="1">
      <c r="A8" s="28"/>
      <c r="B8" s="351" t="s">
        <v>33</v>
      </c>
      <c r="C8" s="347" t="s">
        <v>3</v>
      </c>
      <c r="D8" s="348"/>
      <c r="E8" s="353"/>
      <c r="F8" s="355"/>
      <c r="G8" s="357"/>
      <c r="H8" s="25"/>
      <c r="I8" s="26"/>
      <c r="J8" s="27"/>
      <c r="K8" s="3"/>
      <c r="L8" s="3"/>
      <c r="M8" s="3"/>
      <c r="N8" s="3"/>
      <c r="O8" s="3"/>
      <c r="P8" s="3"/>
      <c r="Q8" s="3"/>
      <c r="R8" s="3"/>
      <c r="S8" s="3"/>
      <c r="T8" s="3"/>
      <c r="U8" s="3"/>
      <c r="V8" s="3"/>
      <c r="W8" s="3"/>
      <c r="X8" s="3"/>
      <c r="Y8" s="3"/>
      <c r="Z8" s="3"/>
      <c r="AA8" s="3"/>
    </row>
    <row r="9" spans="1:27" ht="14.25" customHeight="1">
      <c r="A9" s="23"/>
      <c r="B9" s="352"/>
      <c r="C9" s="29" t="s">
        <v>35</v>
      </c>
      <c r="D9" s="106">
        <v>0.25</v>
      </c>
      <c r="E9" s="354"/>
      <c r="F9" s="356"/>
      <c r="G9" s="356"/>
      <c r="H9" s="30"/>
      <c r="I9" s="8"/>
      <c r="J9" s="27"/>
      <c r="K9" s="5"/>
      <c r="L9" s="5"/>
      <c r="M9" s="5"/>
      <c r="N9" s="5"/>
      <c r="O9" s="5"/>
      <c r="P9" s="5"/>
      <c r="Q9" s="5"/>
      <c r="R9" s="5"/>
      <c r="S9" s="5"/>
      <c r="T9" s="5"/>
      <c r="U9" s="5"/>
      <c r="V9" s="5"/>
      <c r="W9" s="5"/>
      <c r="X9" s="5"/>
      <c r="Y9" s="5"/>
      <c r="Z9" s="5"/>
      <c r="AA9" s="5"/>
    </row>
    <row r="10" spans="1:27" ht="14.25" customHeight="1">
      <c r="A10" s="23"/>
      <c r="B10" s="352"/>
      <c r="C10" s="31" t="s">
        <v>36</v>
      </c>
      <c r="D10" s="107">
        <v>0</v>
      </c>
      <c r="E10" s="354"/>
      <c r="F10" s="356"/>
      <c r="G10" s="356"/>
      <c r="H10" s="30"/>
      <c r="I10" s="8"/>
      <c r="J10" s="27"/>
      <c r="K10" s="5"/>
      <c r="L10" s="5"/>
      <c r="M10" s="5"/>
      <c r="N10" s="5"/>
      <c r="O10" s="5"/>
      <c r="P10" s="5"/>
      <c r="Q10" s="5"/>
      <c r="R10" s="5"/>
      <c r="S10" s="5"/>
      <c r="T10" s="5"/>
      <c r="U10" s="5"/>
      <c r="V10" s="5"/>
      <c r="W10" s="5"/>
      <c r="X10" s="5"/>
      <c r="Y10" s="5"/>
      <c r="Z10" s="5"/>
      <c r="AA10" s="5"/>
    </row>
    <row r="11" spans="1:27" ht="14.25" customHeight="1">
      <c r="A11" s="23"/>
      <c r="B11" s="352"/>
      <c r="C11" s="31" t="s">
        <v>37</v>
      </c>
      <c r="D11" s="107">
        <v>0.25</v>
      </c>
      <c r="E11" s="354"/>
      <c r="F11" s="356"/>
      <c r="G11" s="356"/>
      <c r="H11" s="30"/>
      <c r="I11" s="8"/>
      <c r="J11" s="27"/>
      <c r="K11" s="5"/>
      <c r="L11" s="5"/>
      <c r="M11" s="5"/>
      <c r="N11" s="5"/>
      <c r="O11" s="5"/>
      <c r="P11" s="5"/>
      <c r="Q11" s="5"/>
      <c r="R11" s="5"/>
      <c r="S11" s="5"/>
      <c r="T11" s="5"/>
      <c r="U11" s="5"/>
      <c r="V11" s="5"/>
      <c r="W11" s="5"/>
      <c r="X11" s="5"/>
      <c r="Y11" s="5"/>
      <c r="Z11" s="5"/>
      <c r="AA11" s="5"/>
    </row>
    <row r="12" spans="1:27" ht="14.25" customHeight="1">
      <c r="A12" s="23"/>
      <c r="B12" s="331"/>
      <c r="C12" s="32" t="s">
        <v>38</v>
      </c>
      <c r="D12" s="190">
        <f>C13-SUM(D9:D11)</f>
        <v>0</v>
      </c>
      <c r="E12" s="354"/>
      <c r="F12" s="356"/>
      <c r="G12" s="356"/>
      <c r="H12" s="30"/>
      <c r="I12" s="8"/>
      <c r="J12" s="27"/>
      <c r="K12" s="5"/>
      <c r="L12" s="5"/>
      <c r="M12" s="5"/>
      <c r="N12" s="5"/>
      <c r="O12" s="5"/>
      <c r="P12" s="5"/>
      <c r="Q12" s="5"/>
      <c r="R12" s="5"/>
      <c r="S12" s="5"/>
      <c r="T12" s="5"/>
      <c r="U12" s="5"/>
      <c r="V12" s="5"/>
      <c r="W12" s="5"/>
      <c r="X12" s="5"/>
      <c r="Y12" s="5"/>
      <c r="Z12" s="5"/>
      <c r="AA12" s="5"/>
    </row>
    <row r="13" spans="1:27" ht="14.25" customHeight="1">
      <c r="A13" s="33" t="s">
        <v>39</v>
      </c>
      <c r="B13" s="34">
        <f>B2</f>
        <v>0.5</v>
      </c>
      <c r="C13" s="358">
        <f>B3</f>
        <v>0.5</v>
      </c>
      <c r="D13" s="359"/>
      <c r="E13" s="191"/>
      <c r="F13" s="192"/>
      <c r="G13" s="193"/>
      <c r="H13" s="30"/>
      <c r="I13" s="8"/>
      <c r="J13" s="27"/>
      <c r="K13" s="5"/>
      <c r="L13" s="5"/>
      <c r="M13" s="5"/>
      <c r="N13" s="5"/>
      <c r="O13" s="5"/>
      <c r="P13" s="5"/>
      <c r="Q13" s="5"/>
      <c r="R13" s="5"/>
      <c r="S13" s="5"/>
      <c r="T13" s="5"/>
      <c r="U13" s="5"/>
      <c r="V13" s="5"/>
      <c r="W13" s="5"/>
      <c r="X13" s="5"/>
      <c r="Y13" s="5"/>
      <c r="Z13" s="5"/>
      <c r="AA13" s="5"/>
    </row>
    <row r="14" spans="1:27" ht="14.25" customHeight="1">
      <c r="A14" s="35" t="s">
        <v>40</v>
      </c>
      <c r="B14" s="36">
        <f t="shared" ref="B14:C14" si="0">B13*$B$6</f>
        <v>3500</v>
      </c>
      <c r="C14" s="360">
        <f t="shared" si="0"/>
        <v>3500</v>
      </c>
      <c r="D14" s="361"/>
      <c r="E14" s="194"/>
      <c r="F14" s="195"/>
      <c r="G14" s="196"/>
      <c r="H14" s="37"/>
      <c r="I14" s="8"/>
      <c r="J14" s="38"/>
      <c r="K14" s="5"/>
      <c r="L14" s="5"/>
      <c r="M14" s="5"/>
      <c r="N14" s="5"/>
      <c r="O14" s="5"/>
      <c r="P14" s="5"/>
      <c r="Q14" s="5"/>
      <c r="R14" s="5"/>
      <c r="S14" s="5"/>
      <c r="T14" s="5"/>
      <c r="U14" s="5"/>
      <c r="V14" s="5"/>
      <c r="W14" s="5"/>
      <c r="X14" s="5"/>
      <c r="Y14" s="5"/>
      <c r="Z14" s="5"/>
      <c r="AA14" s="5"/>
    </row>
    <row r="15" spans="1:27" ht="14.25" customHeight="1">
      <c r="A15" s="39" t="s">
        <v>41</v>
      </c>
      <c r="B15" s="40">
        <f t="shared" ref="B15:C15" si="1">0.9*B14</f>
        <v>3150</v>
      </c>
      <c r="C15" s="362">
        <f t="shared" si="1"/>
        <v>3150</v>
      </c>
      <c r="D15" s="363"/>
      <c r="E15" s="194"/>
      <c r="F15" s="195"/>
      <c r="G15" s="197"/>
      <c r="H15" s="37"/>
      <c r="I15" s="8"/>
      <c r="J15" s="38"/>
      <c r="K15" s="5"/>
      <c r="L15" s="5"/>
      <c r="M15" s="5"/>
      <c r="N15" s="5"/>
      <c r="O15" s="5"/>
      <c r="P15" s="5"/>
      <c r="Q15" s="5"/>
      <c r="R15" s="5"/>
      <c r="S15" s="5"/>
      <c r="T15" s="5"/>
      <c r="U15" s="5"/>
      <c r="V15" s="5"/>
      <c r="W15" s="5"/>
      <c r="X15" s="5"/>
      <c r="Y15" s="5"/>
      <c r="Z15" s="5"/>
      <c r="AA15" s="5"/>
    </row>
    <row r="16" spans="1:27" ht="14.25" customHeight="1">
      <c r="A16" s="41" t="s">
        <v>42</v>
      </c>
      <c r="B16" s="42">
        <f t="shared" ref="B16:C16" si="2">ROUND(B15*75/70,0)</f>
        <v>3375</v>
      </c>
      <c r="C16" s="364">
        <f t="shared" si="2"/>
        <v>3375</v>
      </c>
      <c r="D16" s="365"/>
      <c r="E16" s="194"/>
      <c r="F16" s="195"/>
      <c r="G16" s="197"/>
      <c r="H16" s="37"/>
      <c r="I16" s="8"/>
      <c r="J16" s="38"/>
      <c r="K16" s="5"/>
      <c r="L16" s="5"/>
      <c r="M16" s="5"/>
      <c r="N16" s="5"/>
      <c r="O16" s="5"/>
      <c r="P16" s="5"/>
      <c r="Q16" s="5"/>
      <c r="R16" s="5"/>
      <c r="S16" s="5"/>
      <c r="T16" s="5"/>
      <c r="U16" s="5"/>
      <c r="V16" s="5"/>
      <c r="W16" s="5"/>
      <c r="X16" s="5"/>
      <c r="Y16" s="5"/>
      <c r="Z16" s="5"/>
      <c r="AA16" s="5"/>
    </row>
    <row r="17" spans="1:27" ht="14.25" customHeight="1">
      <c r="A17" s="43" t="s">
        <v>43</v>
      </c>
      <c r="B17" s="44">
        <v>250</v>
      </c>
      <c r="C17" s="366" t="str">
        <f>IF($C$13=0,0,ROUND((350*D9+275*SUM(D10:D12))/C13,0))&amp;" € (350 € BRS et 275 € autres produits)"</f>
        <v>313 € (350 € BRS et 275 € autres produits)</v>
      </c>
      <c r="D17" s="329"/>
      <c r="E17" s="198"/>
      <c r="F17" s="199"/>
      <c r="G17" s="193"/>
      <c r="H17" s="37"/>
      <c r="I17" s="8"/>
      <c r="J17" s="38"/>
      <c r="K17" s="5"/>
      <c r="L17" s="5"/>
      <c r="M17" s="5"/>
      <c r="N17" s="5"/>
      <c r="O17" s="5"/>
      <c r="P17" s="5"/>
      <c r="Q17" s="5"/>
      <c r="R17" s="5"/>
      <c r="S17" s="5"/>
      <c r="T17" s="5"/>
      <c r="U17" s="5"/>
      <c r="V17" s="5"/>
      <c r="W17" s="5"/>
      <c r="X17" s="5"/>
      <c r="Y17" s="5"/>
      <c r="Z17" s="5"/>
      <c r="AA17" s="5"/>
    </row>
    <row r="18" spans="1:27" ht="14.25" customHeight="1">
      <c r="A18" s="43" t="s">
        <v>44</v>
      </c>
      <c r="B18" s="45">
        <f t="shared" ref="B18:C18" si="3">B13*$B$7</f>
        <v>50</v>
      </c>
      <c r="C18" s="328">
        <f t="shared" si="3"/>
        <v>50</v>
      </c>
      <c r="D18" s="329"/>
      <c r="E18" s="200"/>
      <c r="F18" s="201"/>
      <c r="G18" s="193"/>
      <c r="H18" s="30"/>
      <c r="I18" s="46"/>
      <c r="J18" s="47"/>
      <c r="K18" s="5"/>
      <c r="L18" s="5"/>
      <c r="M18" s="5"/>
      <c r="N18" s="5"/>
      <c r="O18" s="5"/>
      <c r="P18" s="5"/>
      <c r="Q18" s="5"/>
      <c r="R18" s="5"/>
      <c r="S18" s="5"/>
      <c r="T18" s="5"/>
      <c r="U18" s="5"/>
      <c r="V18" s="5"/>
      <c r="W18" s="5"/>
      <c r="X18" s="5"/>
      <c r="Y18" s="5"/>
      <c r="Z18" s="5"/>
      <c r="AA18" s="5"/>
    </row>
    <row r="19" spans="1:27" ht="14.25" customHeight="1">
      <c r="A19" s="43" t="s">
        <v>45</v>
      </c>
      <c r="B19" s="45">
        <f>ROUND(B18*0.5,0)</f>
        <v>25</v>
      </c>
      <c r="C19" s="328">
        <f>ROUND(C18*0.7,0)</f>
        <v>35</v>
      </c>
      <c r="D19" s="329"/>
      <c r="E19" s="200"/>
      <c r="F19" s="201"/>
      <c r="G19" s="193"/>
      <c r="H19" s="30"/>
      <c r="I19" s="46"/>
      <c r="J19" s="47"/>
      <c r="K19" s="5"/>
      <c r="L19" s="5"/>
      <c r="M19" s="5"/>
      <c r="N19" s="5"/>
      <c r="O19" s="5"/>
      <c r="P19" s="5"/>
      <c r="Q19" s="5"/>
      <c r="R19" s="5"/>
      <c r="S19" s="5"/>
      <c r="T19" s="5"/>
      <c r="U19" s="5"/>
      <c r="V19" s="5"/>
      <c r="W19" s="5"/>
      <c r="X19" s="5"/>
      <c r="Y19" s="5"/>
      <c r="Z19" s="5"/>
      <c r="AA19" s="5"/>
    </row>
    <row r="20" spans="1:27">
      <c r="A20" s="330" t="s">
        <v>46</v>
      </c>
      <c r="B20" s="226"/>
      <c r="C20" s="332" t="s">
        <v>136</v>
      </c>
      <c r="D20" s="333"/>
      <c r="E20" s="202"/>
      <c r="F20" s="203"/>
      <c r="G20" s="193"/>
      <c r="H20" s="30"/>
      <c r="I20" s="46"/>
      <c r="J20" s="47"/>
      <c r="K20" s="5"/>
      <c r="L20" s="5"/>
      <c r="M20" s="5"/>
      <c r="N20" s="5"/>
      <c r="O20" s="5"/>
      <c r="P20" s="5"/>
      <c r="Q20" s="5"/>
      <c r="R20" s="5"/>
      <c r="S20" s="5"/>
      <c r="T20" s="5"/>
      <c r="U20" s="5"/>
      <c r="V20" s="5"/>
      <c r="W20" s="5"/>
      <c r="X20" s="5"/>
      <c r="Y20" s="5"/>
      <c r="Z20" s="5"/>
      <c r="AA20" s="5"/>
    </row>
    <row r="21" spans="1:27" ht="45" customHeight="1">
      <c r="A21" s="331"/>
      <c r="B21" s="227"/>
      <c r="C21" s="334"/>
      <c r="D21" s="335"/>
      <c r="E21" s="204"/>
      <c r="F21" s="205"/>
      <c r="G21" s="206"/>
      <c r="H21" s="5"/>
      <c r="I21" s="5"/>
      <c r="J21" s="5"/>
      <c r="K21" s="5"/>
      <c r="L21" s="5"/>
      <c r="M21" s="5"/>
      <c r="N21" s="5"/>
      <c r="O21" s="5"/>
      <c r="P21" s="5"/>
      <c r="Q21" s="5"/>
      <c r="R21" s="5"/>
      <c r="S21" s="5"/>
      <c r="T21" s="5"/>
      <c r="U21" s="5"/>
      <c r="V21" s="5"/>
      <c r="W21" s="5"/>
      <c r="X21" s="5"/>
      <c r="Y21" s="5"/>
      <c r="Z21" s="5"/>
      <c r="AA21" s="5"/>
    </row>
    <row r="22" spans="1:27" ht="14.25" customHeight="1">
      <c r="A22" s="5"/>
      <c r="B22" s="5"/>
      <c r="C22" s="5"/>
      <c r="D22" s="5"/>
      <c r="E22" s="5"/>
      <c r="F22" s="112"/>
      <c r="G22" s="112"/>
    </row>
    <row r="23" spans="1:27" ht="21">
      <c r="A23" s="299" t="s">
        <v>47</v>
      </c>
      <c r="B23" s="299"/>
      <c r="C23" s="299"/>
      <c r="D23" s="299"/>
      <c r="E23" s="299"/>
      <c r="F23" s="299"/>
      <c r="G23" s="299"/>
      <c r="H23" s="114"/>
      <c r="I23" s="114"/>
      <c r="J23" s="114"/>
      <c r="K23" s="114"/>
      <c r="L23" s="114"/>
      <c r="M23" s="114"/>
      <c r="N23" s="114"/>
      <c r="O23" s="114"/>
      <c r="P23" s="114"/>
      <c r="Q23" s="114"/>
      <c r="R23" s="114"/>
      <c r="S23" s="114"/>
      <c r="T23" s="114"/>
      <c r="U23" s="114"/>
      <c r="V23" s="114"/>
      <c r="W23" s="114"/>
      <c r="X23" s="114"/>
      <c r="Y23" s="114"/>
      <c r="Z23" s="114"/>
    </row>
    <row r="24" spans="1:27" ht="33.75" customHeight="1">
      <c r="A24" s="48" t="s">
        <v>48</v>
      </c>
      <c r="B24" s="49" t="s">
        <v>49</v>
      </c>
      <c r="C24" s="50" t="s">
        <v>50</v>
      </c>
      <c r="D24" s="50" t="s">
        <v>51</v>
      </c>
      <c r="E24" s="336" t="s">
        <v>52</v>
      </c>
      <c r="F24" s="337"/>
      <c r="G24" s="338"/>
    </row>
    <row r="25" spans="1:27" ht="32.25">
      <c r="A25" s="51" t="s">
        <v>53</v>
      </c>
      <c r="B25" s="151" t="s">
        <v>142</v>
      </c>
      <c r="C25" s="53"/>
      <c r="D25" s="147" t="s">
        <v>54</v>
      </c>
      <c r="E25" s="339"/>
      <c r="F25" s="340"/>
      <c r="G25" s="341"/>
    </row>
    <row r="26" spans="1:27">
      <c r="A26" s="54" t="s">
        <v>55</v>
      </c>
      <c r="B26" s="55"/>
      <c r="C26" s="56"/>
      <c r="D26" s="54"/>
      <c r="E26" s="57"/>
      <c r="F26" s="57"/>
      <c r="G26" s="57"/>
    </row>
    <row r="27" spans="1:27" ht="30">
      <c r="A27" s="58" t="s">
        <v>56</v>
      </c>
      <c r="B27" s="59" t="s">
        <v>57</v>
      </c>
      <c r="C27" s="60"/>
      <c r="D27" s="147" t="s">
        <v>54</v>
      </c>
      <c r="E27" s="293"/>
      <c r="F27" s="294"/>
      <c r="G27" s="295"/>
    </row>
    <row r="28" spans="1:27" ht="24">
      <c r="A28" s="61" t="s">
        <v>58</v>
      </c>
      <c r="B28" s="62" t="s">
        <v>59</v>
      </c>
      <c r="C28" s="153" t="s">
        <v>146</v>
      </c>
      <c r="D28" s="147" t="s">
        <v>54</v>
      </c>
      <c r="E28" s="296"/>
      <c r="F28" s="297"/>
      <c r="G28" s="298"/>
    </row>
    <row r="29" spans="1:27" ht="24">
      <c r="A29" s="61" t="s">
        <v>60</v>
      </c>
      <c r="B29" s="62" t="s">
        <v>59</v>
      </c>
      <c r="C29" s="153" t="s">
        <v>147</v>
      </c>
      <c r="D29" s="147" t="s">
        <v>54</v>
      </c>
      <c r="E29" s="296"/>
      <c r="F29" s="297"/>
      <c r="G29" s="298"/>
    </row>
    <row r="30" spans="1:27" ht="30">
      <c r="A30" s="63" t="s">
        <v>61</v>
      </c>
      <c r="B30" s="64" t="s">
        <v>62</v>
      </c>
      <c r="C30" s="154" t="s">
        <v>148</v>
      </c>
      <c r="D30" s="147" t="s">
        <v>54</v>
      </c>
      <c r="E30" s="322"/>
      <c r="F30" s="323"/>
      <c r="G30" s="324"/>
    </row>
    <row r="31" spans="1:27">
      <c r="A31" s="65" t="s">
        <v>63</v>
      </c>
      <c r="B31" s="66"/>
      <c r="C31" s="67"/>
      <c r="D31" s="68"/>
      <c r="E31" s="69"/>
      <c r="F31" s="69"/>
      <c r="G31" s="69"/>
    </row>
    <row r="32" spans="1:27" ht="36">
      <c r="A32" s="149" t="s">
        <v>140</v>
      </c>
      <c r="B32" s="70" t="s">
        <v>64</v>
      </c>
      <c r="C32" s="71" t="s">
        <v>65</v>
      </c>
      <c r="D32" s="147" t="s">
        <v>54</v>
      </c>
      <c r="E32" s="325"/>
      <c r="F32" s="326"/>
      <c r="G32" s="327"/>
    </row>
    <row r="33" spans="1:27" ht="30">
      <c r="A33" s="61" t="s">
        <v>66</v>
      </c>
      <c r="B33" s="72" t="s">
        <v>67</v>
      </c>
      <c r="C33" s="73" t="s">
        <v>68</v>
      </c>
      <c r="D33" s="147" t="s">
        <v>54</v>
      </c>
      <c r="E33" s="296"/>
      <c r="F33" s="297"/>
      <c r="G33" s="298"/>
    </row>
    <row r="34" spans="1:27" ht="30">
      <c r="A34" s="63" t="s">
        <v>69</v>
      </c>
      <c r="B34" s="52" t="s">
        <v>70</v>
      </c>
      <c r="C34" s="53"/>
      <c r="D34" s="147" t="s">
        <v>54</v>
      </c>
      <c r="E34" s="296"/>
      <c r="F34" s="297"/>
      <c r="G34" s="298"/>
    </row>
    <row r="35" spans="1:27">
      <c r="A35" s="74" t="s">
        <v>71</v>
      </c>
      <c r="B35" s="75"/>
      <c r="C35" s="76"/>
      <c r="D35" s="74"/>
      <c r="E35" s="77"/>
      <c r="F35" s="77"/>
      <c r="G35" s="77"/>
    </row>
    <row r="36" spans="1:27" ht="23.25">
      <c r="A36" s="308" t="s">
        <v>72</v>
      </c>
      <c r="B36" s="309" t="s">
        <v>73</v>
      </c>
      <c r="C36" s="152" t="s">
        <v>143</v>
      </c>
      <c r="D36" s="147" t="s">
        <v>54</v>
      </c>
      <c r="E36" s="293"/>
      <c r="F36" s="294"/>
      <c r="G36" s="295"/>
    </row>
    <row r="37" spans="1:27" ht="23.25">
      <c r="A37" s="306"/>
      <c r="B37" s="306"/>
      <c r="C37" s="150" t="s">
        <v>144</v>
      </c>
      <c r="D37" s="147" t="s">
        <v>54</v>
      </c>
      <c r="E37" s="296"/>
      <c r="F37" s="297"/>
      <c r="G37" s="298"/>
    </row>
    <row r="38" spans="1:27" ht="23.25">
      <c r="A38" s="304" t="s">
        <v>74</v>
      </c>
      <c r="B38" s="307" t="s">
        <v>75</v>
      </c>
      <c r="C38" s="73" t="s">
        <v>76</v>
      </c>
      <c r="D38" s="147" t="s">
        <v>54</v>
      </c>
      <c r="E38" s="296"/>
      <c r="F38" s="297"/>
      <c r="G38" s="298"/>
    </row>
    <row r="39" spans="1:27" ht="23.25">
      <c r="A39" s="305"/>
      <c r="B39" s="305"/>
      <c r="C39" s="73" t="s">
        <v>77</v>
      </c>
      <c r="D39" s="147" t="s">
        <v>54</v>
      </c>
      <c r="E39" s="296"/>
      <c r="F39" s="297"/>
      <c r="G39" s="298"/>
    </row>
    <row r="40" spans="1:27" ht="23.25">
      <c r="A40" s="306"/>
      <c r="B40" s="306"/>
      <c r="C40" s="150" t="s">
        <v>141</v>
      </c>
      <c r="D40" s="147" t="s">
        <v>54</v>
      </c>
      <c r="E40" s="296"/>
      <c r="F40" s="297"/>
      <c r="G40" s="298"/>
    </row>
    <row r="41" spans="1:27" ht="23.25">
      <c r="A41" s="304" t="s">
        <v>78</v>
      </c>
      <c r="B41" s="148" t="s">
        <v>139</v>
      </c>
      <c r="C41" s="73" t="s">
        <v>79</v>
      </c>
      <c r="D41" s="147" t="s">
        <v>54</v>
      </c>
      <c r="E41" s="296"/>
      <c r="F41" s="297"/>
      <c r="G41" s="298"/>
    </row>
    <row r="42" spans="1:27" ht="36">
      <c r="A42" s="306"/>
      <c r="B42" s="62" t="s">
        <v>80</v>
      </c>
      <c r="C42" s="78" t="s">
        <v>81</v>
      </c>
      <c r="D42" s="147" t="s">
        <v>54</v>
      </c>
      <c r="E42" s="296"/>
      <c r="F42" s="297"/>
      <c r="G42" s="298"/>
    </row>
    <row r="43" spans="1:27" ht="14.25" customHeight="1">
      <c r="A43" s="79"/>
      <c r="B43" s="300" t="s">
        <v>145</v>
      </c>
      <c r="C43" s="301"/>
      <c r="D43" s="301"/>
      <c r="E43" s="301"/>
      <c r="F43" s="301"/>
      <c r="G43" s="301"/>
      <c r="H43" s="2"/>
      <c r="I43" s="2"/>
      <c r="J43" s="2"/>
      <c r="K43" s="2"/>
      <c r="L43" s="2"/>
      <c r="M43" s="2"/>
      <c r="N43" s="2"/>
      <c r="O43" s="2"/>
      <c r="P43" s="2"/>
      <c r="Q43" s="2"/>
      <c r="R43" s="2"/>
      <c r="S43" s="2"/>
      <c r="T43" s="2"/>
      <c r="U43" s="2"/>
      <c r="V43" s="2"/>
      <c r="W43" s="2"/>
      <c r="X43" s="2"/>
      <c r="Y43" s="2"/>
      <c r="Z43" s="2"/>
      <c r="AA43" s="2"/>
    </row>
    <row r="44" spans="1:27" ht="14.25" customHeight="1">
      <c r="A44" s="83"/>
      <c r="B44" s="82"/>
      <c r="C44" s="80"/>
      <c r="D44" s="81"/>
      <c r="E44" s="80"/>
      <c r="F44" s="80"/>
      <c r="G44" s="80"/>
    </row>
    <row r="45" spans="1:27" ht="21">
      <c r="A45" s="299" t="s">
        <v>166</v>
      </c>
      <c r="B45" s="299"/>
      <c r="C45" s="299"/>
      <c r="D45" s="299"/>
      <c r="E45" s="299"/>
      <c r="F45" s="299"/>
      <c r="G45" s="299"/>
      <c r="H45" s="114"/>
      <c r="I45" s="114"/>
      <c r="J45" s="114"/>
      <c r="K45" s="114"/>
      <c r="L45" s="114"/>
      <c r="M45" s="114"/>
      <c r="N45" s="114"/>
      <c r="O45" s="114"/>
      <c r="P45" s="114"/>
      <c r="Q45" s="114"/>
      <c r="R45" s="114"/>
      <c r="S45" s="114"/>
      <c r="T45" s="114"/>
      <c r="U45" s="114"/>
      <c r="V45" s="114"/>
      <c r="W45" s="114"/>
      <c r="X45" s="114"/>
      <c r="Y45" s="114"/>
      <c r="Z45" s="114"/>
    </row>
    <row r="46" spans="1:27" ht="14.25" customHeight="1">
      <c r="A46" s="3" t="s">
        <v>167</v>
      </c>
      <c r="B46" s="3"/>
      <c r="C46" s="84" t="s">
        <v>82</v>
      </c>
      <c r="D46" s="84" t="s">
        <v>83</v>
      </c>
      <c r="E46" s="84" t="s">
        <v>84</v>
      </c>
      <c r="F46" s="84" t="s">
        <v>85</v>
      </c>
      <c r="G46" s="3" t="s">
        <v>34</v>
      </c>
    </row>
    <row r="47" spans="1:27" ht="14.25" customHeight="1">
      <c r="A47" s="113" t="s">
        <v>86</v>
      </c>
      <c r="B47" s="85"/>
      <c r="C47" s="85"/>
      <c r="D47" s="85"/>
      <c r="E47" s="86">
        <f>E48+E53</f>
        <v>1968750</v>
      </c>
      <c r="F47" s="86">
        <f>F48+F53</f>
        <v>2077031.25</v>
      </c>
      <c r="G47" s="207">
        <f>F47/$F$64</f>
        <v>1</v>
      </c>
      <c r="H47" s="1"/>
      <c r="I47" s="1"/>
      <c r="J47" s="1"/>
      <c r="K47" s="1"/>
      <c r="L47" s="1"/>
      <c r="M47" s="1"/>
      <c r="N47" s="1"/>
      <c r="O47" s="1"/>
      <c r="P47" s="1"/>
      <c r="Q47" s="1"/>
      <c r="R47" s="1"/>
      <c r="S47" s="1"/>
      <c r="T47" s="1"/>
      <c r="U47" s="1"/>
      <c r="V47" s="1"/>
      <c r="W47" s="1"/>
      <c r="X47" s="1"/>
      <c r="Y47" s="1"/>
      <c r="Z47" s="1"/>
      <c r="AA47" s="1"/>
    </row>
    <row r="48" spans="1:27" ht="14.25" customHeight="1">
      <c r="A48" s="285" t="s">
        <v>87</v>
      </c>
      <c r="B48" s="285"/>
      <c r="C48" s="87"/>
      <c r="D48" s="4"/>
      <c r="E48" s="88">
        <f>SUM(E49:E52)</f>
        <v>1968750</v>
      </c>
      <c r="F48" s="88">
        <f>SUM(F49:F52)</f>
        <v>2077031.25</v>
      </c>
      <c r="G48" s="89"/>
      <c r="H48" s="90"/>
      <c r="I48" s="90"/>
      <c r="J48" s="90"/>
      <c r="K48" s="90"/>
      <c r="L48" s="90"/>
      <c r="M48" s="90"/>
      <c r="N48" s="90"/>
      <c r="O48" s="90"/>
      <c r="P48" s="90"/>
      <c r="Q48" s="90"/>
      <c r="R48" s="90"/>
      <c r="S48" s="90"/>
      <c r="T48" s="90"/>
      <c r="U48" s="90"/>
      <c r="V48" s="90"/>
      <c r="W48" s="90"/>
      <c r="X48" s="90"/>
      <c r="Y48" s="90"/>
      <c r="Z48" s="90"/>
      <c r="AA48" s="90"/>
    </row>
    <row r="49" spans="1:27" ht="14.25" customHeight="1">
      <c r="A49" s="316" t="s">
        <v>88</v>
      </c>
      <c r="B49" s="316"/>
      <c r="C49" s="155">
        <f>B17</f>
        <v>250</v>
      </c>
      <c r="D49" s="156">
        <f>B13*$B$6</f>
        <v>3500</v>
      </c>
      <c r="E49" s="157">
        <f t="shared" ref="E49:E53" si="4">C49*D49</f>
        <v>875000</v>
      </c>
      <c r="F49" s="157">
        <f t="shared" ref="F49:F50" si="5">E49*1.055</f>
        <v>923125</v>
      </c>
      <c r="G49" s="158" t="s">
        <v>89</v>
      </c>
      <c r="H49" s="91"/>
      <c r="I49" s="91"/>
      <c r="J49" s="91"/>
      <c r="K49" s="91"/>
      <c r="L49" s="91"/>
      <c r="M49" s="91"/>
      <c r="N49" s="91"/>
      <c r="O49" s="91"/>
      <c r="P49" s="91"/>
      <c r="Q49" s="91"/>
      <c r="R49" s="91"/>
      <c r="S49" s="91"/>
      <c r="T49" s="91"/>
      <c r="U49" s="91"/>
      <c r="V49" s="91"/>
      <c r="W49" s="91"/>
      <c r="X49" s="91"/>
      <c r="Y49" s="91"/>
      <c r="Z49" s="91"/>
      <c r="AA49" s="91"/>
    </row>
    <row r="50" spans="1:27" ht="14.25" customHeight="1">
      <c r="A50" s="316" t="s">
        <v>35</v>
      </c>
      <c r="B50" s="317"/>
      <c r="C50" s="155">
        <v>350</v>
      </c>
      <c r="D50" s="156">
        <f>D9*$B$6</f>
        <v>1750</v>
      </c>
      <c r="E50" s="159">
        <f t="shared" si="4"/>
        <v>612500</v>
      </c>
      <c r="F50" s="159">
        <f t="shared" si="5"/>
        <v>646187.5</v>
      </c>
      <c r="G50" s="158" t="s">
        <v>89</v>
      </c>
      <c r="H50" s="13"/>
      <c r="I50" s="13"/>
      <c r="J50" s="13"/>
      <c r="K50" s="13"/>
      <c r="L50" s="13"/>
      <c r="M50" s="13"/>
      <c r="N50" s="13"/>
      <c r="O50" s="13"/>
      <c r="P50" s="13"/>
      <c r="Q50" s="13"/>
      <c r="R50" s="13"/>
      <c r="S50" s="13"/>
      <c r="T50" s="13"/>
      <c r="U50" s="13"/>
      <c r="V50" s="13"/>
      <c r="W50" s="13"/>
      <c r="X50" s="13"/>
      <c r="Y50" s="13"/>
      <c r="Z50" s="13"/>
      <c r="AA50" s="13"/>
    </row>
    <row r="51" spans="1:27" ht="14.25" customHeight="1">
      <c r="A51" s="316" t="s">
        <v>90</v>
      </c>
      <c r="B51" s="317"/>
      <c r="C51" s="155">
        <v>275</v>
      </c>
      <c r="D51" s="156">
        <f>SUM(D10:D12)*B6</f>
        <v>1750</v>
      </c>
      <c r="E51" s="157">
        <f t="shared" si="4"/>
        <v>481250</v>
      </c>
      <c r="F51" s="157">
        <f>IF(SUM($D$10:$D$12)=0,0,E51*(1.055*SUM($D$10:$D$11)+1.2*$D$12)/SUM($D$10:$D$12))</f>
        <v>507718.74999999994</v>
      </c>
      <c r="G51" s="158" t="str">
        <f>"TVA moyenne de "&amp;IF(E51=0,0,ROUND((F51/E51-1)*100,2))&amp;" % (prorata SDP)"</f>
        <v>TVA moyenne de 5,5 % (prorata SDP)</v>
      </c>
      <c r="H51" s="91"/>
      <c r="I51" s="91"/>
      <c r="J51" s="91"/>
      <c r="K51" s="91"/>
      <c r="L51" s="91"/>
      <c r="M51" s="91"/>
      <c r="N51" s="91"/>
      <c r="O51" s="91"/>
      <c r="P51" s="91"/>
      <c r="Q51" s="91"/>
      <c r="R51" s="91"/>
      <c r="S51" s="91"/>
      <c r="T51" s="91"/>
      <c r="U51" s="91"/>
      <c r="V51" s="91"/>
      <c r="W51" s="91"/>
      <c r="X51" s="91"/>
      <c r="Y51" s="91"/>
      <c r="Z51" s="91"/>
      <c r="AA51" s="91"/>
    </row>
    <row r="52" spans="1:27" ht="14.25" customHeight="1">
      <c r="A52" s="318" t="s">
        <v>7</v>
      </c>
      <c r="B52" s="319"/>
      <c r="C52" s="160">
        <v>1600</v>
      </c>
      <c r="D52" s="161">
        <f>D57</f>
        <v>0</v>
      </c>
      <c r="E52" s="162">
        <f t="shared" si="4"/>
        <v>0</v>
      </c>
      <c r="F52" s="163">
        <f>IF($C$13=0,E52*(1.2*($E$19+$F$19)+1.055*$B$19)/($B$19+$E$19+$F$19),E52*(1.2*($E$19+$F$19+$C$19*$D$12/$C$13)+1.055*($B$19+$C$19*SUM($D$9:$D$11)/$C$13))/($B$19+$C$19+$E$19+$F$19))</f>
        <v>0</v>
      </c>
      <c r="G52" s="164" t="str">
        <f>"TVA moyenne de "&amp;IF(E52=0,"",ROUND((F52/E52-1)*100,2))&amp;" % (prorata nb places)"</f>
        <v>TVA moyenne de  % (prorata nb places)</v>
      </c>
      <c r="H52" s="91"/>
      <c r="I52" s="91"/>
      <c r="J52" s="91"/>
      <c r="K52" s="91"/>
      <c r="L52" s="91"/>
      <c r="M52" s="91"/>
      <c r="N52" s="91"/>
      <c r="O52" s="91"/>
      <c r="P52" s="91"/>
      <c r="Q52" s="91"/>
      <c r="R52" s="91"/>
      <c r="S52" s="91"/>
      <c r="T52" s="91"/>
      <c r="U52" s="91"/>
      <c r="V52" s="91"/>
      <c r="W52" s="91"/>
      <c r="X52" s="91"/>
      <c r="Y52" s="91"/>
      <c r="Z52" s="91"/>
      <c r="AA52" s="91"/>
    </row>
    <row r="53" spans="1:27" ht="14.25" customHeight="1">
      <c r="A53" s="320" t="s">
        <v>92</v>
      </c>
      <c r="B53" s="321"/>
      <c r="C53" s="108"/>
      <c r="D53" s="92">
        <f>SUM(B19:E19)-D57</f>
        <v>60</v>
      </c>
      <c r="E53" s="93">
        <f t="shared" si="4"/>
        <v>0</v>
      </c>
      <c r="F53" s="93">
        <f>E53*1.2</f>
        <v>0</v>
      </c>
      <c r="G53" s="7"/>
    </row>
    <row r="54" spans="1:27" ht="14.25" customHeight="1">
      <c r="A54" s="85" t="s">
        <v>93</v>
      </c>
      <c r="B54" s="85"/>
      <c r="C54" s="104"/>
      <c r="D54" s="104"/>
      <c r="E54" s="86">
        <f t="shared" ref="E54:F54" si="6">E56+E57+E55</f>
        <v>0</v>
      </c>
      <c r="F54" s="86">
        <f t="shared" si="6"/>
        <v>0</v>
      </c>
      <c r="G54" s="207">
        <f>F54/$F$64</f>
        <v>0</v>
      </c>
      <c r="H54" s="1"/>
      <c r="I54" s="1"/>
      <c r="J54" s="1"/>
      <c r="K54" s="1"/>
      <c r="L54" s="1"/>
      <c r="M54" s="1"/>
      <c r="N54" s="1"/>
      <c r="O54" s="1"/>
      <c r="P54" s="1"/>
      <c r="Q54" s="1"/>
      <c r="R54" s="1"/>
      <c r="S54" s="1"/>
      <c r="T54" s="1"/>
      <c r="U54" s="1"/>
      <c r="V54" s="1"/>
      <c r="W54" s="1"/>
      <c r="X54" s="1"/>
      <c r="Y54" s="1"/>
      <c r="Z54" s="1"/>
      <c r="AA54" s="1"/>
    </row>
    <row r="55" spans="1:27" ht="14.25" customHeight="1">
      <c r="A55" s="310" t="s">
        <v>94</v>
      </c>
      <c r="B55" s="310"/>
      <c r="C55" s="109">
        <v>0</v>
      </c>
      <c r="D55" s="96">
        <f>SUM(B15:E15)</f>
        <v>6300</v>
      </c>
      <c r="E55" s="97">
        <f>D55*C55</f>
        <v>0</v>
      </c>
      <c r="F55" s="175">
        <f>IF($C$13=0,E55*(1.055*$B$14)/$B$6,E55*(1.2*($C$14*$D$12/$C$13)+1.055*($B$14+$C$14*SUM($D$9:$D$11)/$C$13))/$B$6)</f>
        <v>0</v>
      </c>
      <c r="G55" s="179" t="str">
        <f>"TVA moyenne de "&amp;IF(E55=0,"",ROUND((F55/E55-1)*100,2))&amp;" % (prorata SDP)"</f>
        <v>TVA moyenne de  % (prorata SDP)</v>
      </c>
      <c r="H55" s="95"/>
      <c r="I55" s="95"/>
      <c r="J55" s="95"/>
      <c r="K55" s="95"/>
      <c r="L55" s="95"/>
      <c r="M55" s="95"/>
      <c r="N55" s="95"/>
      <c r="O55" s="95"/>
      <c r="P55" s="95"/>
      <c r="Q55" s="95"/>
      <c r="R55" s="95"/>
      <c r="S55" s="95"/>
      <c r="T55" s="95"/>
      <c r="U55" s="95"/>
      <c r="V55" s="95"/>
      <c r="W55" s="95"/>
      <c r="X55" s="95"/>
      <c r="Y55" s="95"/>
      <c r="Z55" s="95"/>
      <c r="AA55" s="95"/>
    </row>
    <row r="56" spans="1:27" ht="14.25" customHeight="1">
      <c r="A56" s="286" t="s">
        <v>95</v>
      </c>
      <c r="B56" s="287"/>
      <c r="C56" s="167">
        <v>0</v>
      </c>
      <c r="D56" s="168">
        <f>SUM(B15:E15)</f>
        <v>6300</v>
      </c>
      <c r="E56" s="169">
        <f>C56*D56</f>
        <v>0</v>
      </c>
      <c r="F56" s="177">
        <f t="shared" ref="F56:F57" si="7">IF($C$13=0,E56*(1.055*$B$14)/$B$6,E56*(1.2*($C$14*$D$12/$C$13)+1.055*($B$14+$C$14*SUM($D$9:$D$11)/$C$13))/$B$6)</f>
        <v>0</v>
      </c>
      <c r="G56" s="174" t="str">
        <f>"TVA moyenne de "&amp;IF(E56=0,"",ROUND(100*(F56/E56-1),2))&amp;"% (prorata SdP)"</f>
        <v>TVA moyenne de % (prorata SdP)</v>
      </c>
    </row>
    <row r="57" spans="1:27" ht="14.25" customHeight="1">
      <c r="A57" s="310" t="s">
        <v>96</v>
      </c>
      <c r="B57" s="311"/>
      <c r="C57" s="165">
        <v>0</v>
      </c>
      <c r="D57" s="166">
        <v>0</v>
      </c>
      <c r="E57" s="97">
        <f>C57*D57</f>
        <v>0</v>
      </c>
      <c r="F57" s="176">
        <f t="shared" si="7"/>
        <v>0</v>
      </c>
      <c r="G57" s="180" t="str">
        <f>"TVA moyenne de "&amp;IF(E57=0,"",ROUND((F57/E57-1)*100,2))&amp;" % (prorata nb places)"</f>
        <v>TVA moyenne de  % (prorata nb places)</v>
      </c>
    </row>
    <row r="58" spans="1:27" ht="14.25" customHeight="1">
      <c r="A58" s="85" t="s">
        <v>97</v>
      </c>
      <c r="B58" s="85"/>
      <c r="C58" s="104"/>
      <c r="D58" s="94"/>
      <c r="E58" s="86">
        <f t="shared" ref="E58:F58" si="8">SUM(E59:E63)</f>
        <v>0</v>
      </c>
      <c r="F58" s="86">
        <f t="shared" si="8"/>
        <v>0</v>
      </c>
      <c r="G58" s="207">
        <f>F58/$F$64</f>
        <v>0</v>
      </c>
      <c r="H58" s="1"/>
      <c r="I58" s="1"/>
      <c r="J58" s="1"/>
      <c r="K58" s="1"/>
      <c r="L58" s="1"/>
      <c r="M58" s="1"/>
      <c r="N58" s="1"/>
      <c r="O58" s="1"/>
      <c r="P58" s="1"/>
      <c r="Q58" s="1"/>
      <c r="R58" s="1"/>
      <c r="S58" s="1"/>
      <c r="T58" s="1"/>
      <c r="U58" s="1"/>
      <c r="V58" s="1"/>
      <c r="W58" s="1"/>
      <c r="X58" s="1"/>
      <c r="Y58" s="1"/>
      <c r="Z58" s="1"/>
      <c r="AA58" s="1"/>
    </row>
    <row r="59" spans="1:27" ht="14.25" customHeight="1">
      <c r="A59" s="312" t="s">
        <v>98</v>
      </c>
      <c r="B59" s="313"/>
      <c r="C59" s="170">
        <v>0</v>
      </c>
      <c r="D59" s="208" t="s">
        <v>171</v>
      </c>
      <c r="E59" s="171">
        <f>C59*$E$54</f>
        <v>0</v>
      </c>
      <c r="F59" s="175">
        <f>IF($C$13=0,E59*(1.055*$B$14)/$B$6,E59*(1.2*($C$14*$D$12/$C$13)+1.055*($B$14+$C$14*SUM($D$9:$D$11)/$C$13))/$B$6)</f>
        <v>0</v>
      </c>
      <c r="G59" s="172" t="str">
        <f>"TVA moyenne de "&amp;IF(E59=0,"",ROUND(100*(F59/E59-1),2))&amp;"% (prorata SdP)"</f>
        <v>TVA moyenne de % (prorata SdP)</v>
      </c>
      <c r="H59" s="90"/>
      <c r="I59" s="90"/>
      <c r="J59" s="90"/>
      <c r="K59" s="90"/>
      <c r="L59" s="90"/>
      <c r="M59" s="90"/>
      <c r="N59" s="90"/>
      <c r="O59" s="90"/>
      <c r="P59" s="90"/>
      <c r="Q59" s="90"/>
      <c r="R59" s="90"/>
      <c r="S59" s="90"/>
      <c r="T59" s="90"/>
      <c r="U59" s="90"/>
      <c r="V59" s="90"/>
      <c r="W59" s="90"/>
      <c r="X59" s="90"/>
      <c r="Y59" s="90"/>
      <c r="Z59" s="90"/>
      <c r="AA59" s="90"/>
    </row>
    <row r="60" spans="1:27" ht="14.25" customHeight="1">
      <c r="A60" s="286" t="s">
        <v>99</v>
      </c>
      <c r="B60" s="287"/>
      <c r="C60" s="173">
        <v>0</v>
      </c>
      <c r="D60" s="209" t="s">
        <v>171</v>
      </c>
      <c r="E60" s="171">
        <f t="shared" ref="E60:E63" si="9">C60*$E$54</f>
        <v>0</v>
      </c>
      <c r="F60" s="177">
        <f t="shared" ref="F60:F63" si="10">IF($C$13=0,E60*(1.055*$B$14)/$B$6,E60*(1.2*($C$14*$D$12/$C$13)+1.055*($B$14+$C$14*SUM($D$9:$D$11)/$C$13))/$B$6)</f>
        <v>0</v>
      </c>
      <c r="G60" s="172" t="str">
        <f t="shared" ref="G60:G63" si="11">"TVA moyenne de "&amp;IF(E60=0,"",ROUND(100*(F60/E60-1),2))&amp;"% (prorata SdP)"</f>
        <v>TVA moyenne de % (prorata SdP)</v>
      </c>
      <c r="H60" s="90"/>
      <c r="I60" s="90"/>
      <c r="J60" s="90"/>
      <c r="K60" s="90"/>
      <c r="L60" s="90"/>
      <c r="M60" s="90"/>
      <c r="N60" s="90"/>
      <c r="O60" s="90"/>
      <c r="P60" s="90"/>
      <c r="Q60" s="90"/>
      <c r="R60" s="90"/>
      <c r="S60" s="90"/>
      <c r="T60" s="90"/>
      <c r="U60" s="90"/>
      <c r="V60" s="90"/>
      <c r="W60" s="90"/>
      <c r="X60" s="90"/>
      <c r="Y60" s="90"/>
      <c r="Z60" s="90"/>
      <c r="AA60" s="90"/>
    </row>
    <row r="61" spans="1:27" ht="14.25" customHeight="1">
      <c r="A61" s="286" t="s">
        <v>100</v>
      </c>
      <c r="B61" s="287"/>
      <c r="C61" s="173">
        <v>0</v>
      </c>
      <c r="D61" s="209" t="s">
        <v>171</v>
      </c>
      <c r="E61" s="171">
        <f t="shared" si="9"/>
        <v>0</v>
      </c>
      <c r="F61" s="177">
        <f t="shared" si="10"/>
        <v>0</v>
      </c>
      <c r="G61" s="172" t="str">
        <f t="shared" si="11"/>
        <v>TVA moyenne de % (prorata SdP)</v>
      </c>
      <c r="H61" s="90"/>
      <c r="I61" s="90"/>
      <c r="J61" s="90"/>
      <c r="K61" s="90"/>
      <c r="L61" s="90"/>
      <c r="M61" s="90"/>
      <c r="N61" s="90"/>
      <c r="O61" s="90"/>
      <c r="P61" s="90"/>
      <c r="Q61" s="90"/>
      <c r="R61" s="90"/>
      <c r="S61" s="90"/>
      <c r="T61" s="90"/>
      <c r="U61" s="90"/>
      <c r="V61" s="90"/>
      <c r="W61" s="90"/>
      <c r="X61" s="90"/>
      <c r="Y61" s="90"/>
      <c r="Z61" s="90"/>
      <c r="AA61" s="90"/>
    </row>
    <row r="62" spans="1:27" ht="14.25" customHeight="1">
      <c r="A62" s="286" t="s">
        <v>101</v>
      </c>
      <c r="B62" s="287"/>
      <c r="C62" s="173">
        <v>0</v>
      </c>
      <c r="D62" s="209" t="s">
        <v>171</v>
      </c>
      <c r="E62" s="171">
        <f t="shared" si="9"/>
        <v>0</v>
      </c>
      <c r="F62" s="177">
        <f t="shared" si="10"/>
        <v>0</v>
      </c>
      <c r="G62" s="172" t="str">
        <f t="shared" si="11"/>
        <v>TVA moyenne de % (prorata SdP)</v>
      </c>
      <c r="H62" s="90"/>
      <c r="I62" s="90"/>
      <c r="J62" s="90"/>
      <c r="K62" s="90"/>
      <c r="L62" s="90"/>
      <c r="M62" s="90"/>
      <c r="N62" s="90"/>
      <c r="O62" s="90"/>
      <c r="P62" s="90"/>
      <c r="Q62" s="90"/>
      <c r="R62" s="90"/>
      <c r="S62" s="90"/>
      <c r="T62" s="90"/>
      <c r="U62" s="90"/>
      <c r="V62" s="90"/>
      <c r="W62" s="90"/>
      <c r="X62" s="90"/>
      <c r="Y62" s="90"/>
      <c r="Z62" s="90"/>
      <c r="AA62" s="90"/>
    </row>
    <row r="63" spans="1:27" ht="14.25" customHeight="1">
      <c r="A63" s="288" t="s">
        <v>102</v>
      </c>
      <c r="B63" s="289"/>
      <c r="C63" s="110">
        <v>0</v>
      </c>
      <c r="D63" s="210" t="s">
        <v>171</v>
      </c>
      <c r="E63" s="171">
        <f t="shared" si="9"/>
        <v>0</v>
      </c>
      <c r="F63" s="176">
        <f t="shared" si="10"/>
        <v>0</v>
      </c>
      <c r="G63" s="98" t="str">
        <f t="shared" si="11"/>
        <v>TVA moyenne de % (prorata SdP)</v>
      </c>
      <c r="H63" s="90"/>
      <c r="I63" s="90"/>
      <c r="J63" s="90"/>
      <c r="K63" s="90"/>
      <c r="L63" s="90"/>
      <c r="M63" s="90"/>
      <c r="N63" s="90"/>
      <c r="O63" s="90"/>
      <c r="P63" s="90"/>
      <c r="Q63" s="90"/>
      <c r="R63" s="90"/>
      <c r="S63" s="90"/>
      <c r="T63" s="90"/>
      <c r="U63" s="90"/>
      <c r="V63" s="90"/>
      <c r="W63" s="90"/>
      <c r="X63" s="90"/>
      <c r="Y63" s="90"/>
      <c r="Z63" s="90"/>
      <c r="AA63" s="90"/>
    </row>
    <row r="64" spans="1:27" ht="14.25" customHeight="1">
      <c r="A64" s="99" t="s">
        <v>169</v>
      </c>
      <c r="B64" s="99"/>
      <c r="C64" s="105"/>
      <c r="D64" s="100"/>
      <c r="E64" s="101">
        <f>SUM(E47,E54,E58)</f>
        <v>1968750</v>
      </c>
      <c r="F64" s="101">
        <f>SUM(F47,F54,F58)</f>
        <v>2077031.25</v>
      </c>
      <c r="G64" s="102"/>
      <c r="H64" s="9"/>
      <c r="I64" s="9"/>
      <c r="J64" s="9"/>
      <c r="K64" s="9"/>
      <c r="L64" s="9"/>
      <c r="M64" s="9"/>
      <c r="N64" s="9"/>
      <c r="O64" s="9"/>
      <c r="P64" s="9"/>
      <c r="Q64" s="9"/>
      <c r="R64" s="9"/>
      <c r="S64" s="9"/>
      <c r="T64" s="9"/>
      <c r="U64" s="9"/>
      <c r="V64" s="9"/>
      <c r="W64" s="9"/>
      <c r="X64" s="9"/>
      <c r="Y64" s="9"/>
      <c r="Z64" s="9"/>
      <c r="AA64" s="9"/>
    </row>
    <row r="65" spans="1:27" ht="14.25" customHeight="1">
      <c r="A65" s="85" t="s">
        <v>168</v>
      </c>
      <c r="B65" s="85"/>
      <c r="C65" s="211"/>
      <c r="D65" s="85"/>
      <c r="E65" s="86">
        <f>SUM(E66:E70)</f>
        <v>10751675</v>
      </c>
      <c r="F65" s="86">
        <f>SUM(F66:F70)</f>
        <v>11343017.125</v>
      </c>
      <c r="G65" s="212"/>
      <c r="H65" s="1"/>
      <c r="I65" s="1"/>
      <c r="J65" s="1"/>
      <c r="K65" s="1"/>
      <c r="L65" s="1"/>
      <c r="M65" s="1"/>
      <c r="N65" s="1"/>
      <c r="O65" s="1"/>
      <c r="P65" s="1"/>
      <c r="Q65" s="1"/>
      <c r="R65" s="1"/>
      <c r="S65" s="1"/>
      <c r="T65" s="1"/>
      <c r="U65" s="1"/>
      <c r="V65" s="1"/>
      <c r="W65" s="1"/>
      <c r="X65" s="1"/>
      <c r="Y65" s="1"/>
      <c r="Z65" s="1"/>
      <c r="AA65" s="1"/>
    </row>
    <row r="66" spans="1:27" ht="14.25" customHeight="1">
      <c r="A66" s="310" t="s">
        <v>103</v>
      </c>
      <c r="B66" s="311"/>
      <c r="C66" s="213">
        <f>3338*0.8</f>
        <v>2670.4</v>
      </c>
      <c r="D66" s="96">
        <f>IF($C$13=0,0,C16*$D$9/$C$13)</f>
        <v>1687.5</v>
      </c>
      <c r="E66" s="97">
        <f>C66*D66</f>
        <v>4506300</v>
      </c>
      <c r="F66" s="97">
        <f>1.055*E66</f>
        <v>4754146.5</v>
      </c>
      <c r="G66" s="214" t="s">
        <v>89</v>
      </c>
    </row>
    <row r="67" spans="1:27" ht="14.25" customHeight="1">
      <c r="A67" s="368" t="s">
        <v>104</v>
      </c>
      <c r="B67" s="369"/>
      <c r="C67" s="215">
        <f>C50</f>
        <v>350</v>
      </c>
      <c r="D67" s="216">
        <f>IF($C$13=0,0,C14*$D$9/$C$13)</f>
        <v>1750</v>
      </c>
      <c r="E67" s="175">
        <f>C67*D67</f>
        <v>612500</v>
      </c>
      <c r="F67" s="175">
        <f>E67*1.055</f>
        <v>646187.5</v>
      </c>
      <c r="G67" s="217" t="s">
        <v>89</v>
      </c>
    </row>
    <row r="68" spans="1:27" ht="14.25" customHeight="1">
      <c r="A68" s="370" t="s">
        <v>105</v>
      </c>
      <c r="B68" s="371"/>
      <c r="C68" s="218">
        <v>3338</v>
      </c>
      <c r="D68" s="219">
        <f>IF($C$13=0,0,C16*SUM($D$10:$D$11)/$C$13)</f>
        <v>1687.5</v>
      </c>
      <c r="E68" s="177">
        <f>C68*D68</f>
        <v>5632875</v>
      </c>
      <c r="F68" s="177">
        <f>1.055*E68</f>
        <v>5942683.125</v>
      </c>
      <c r="G68" s="220" t="s">
        <v>89</v>
      </c>
    </row>
    <row r="69" spans="1:27" ht="14.25" customHeight="1">
      <c r="A69" s="370" t="s">
        <v>106</v>
      </c>
      <c r="B69" s="371"/>
      <c r="C69" s="221">
        <v>3000</v>
      </c>
      <c r="D69" s="219">
        <f>IF($C$13=0,0,C15*$D$12/$C$13+4.5*ROUND($C$18*$D$12/$C$13,0))</f>
        <v>0</v>
      </c>
      <c r="E69" s="177">
        <f>F69/1.2</f>
        <v>0</v>
      </c>
      <c r="F69" s="177">
        <f>D69*C69</f>
        <v>0</v>
      </c>
      <c r="G69" s="220" t="s">
        <v>91</v>
      </c>
    </row>
    <row r="70" spans="1:27" ht="14.25" customHeight="1">
      <c r="A70" s="372" t="s">
        <v>107</v>
      </c>
      <c r="B70" s="373"/>
      <c r="C70" s="178">
        <v>0</v>
      </c>
      <c r="D70" s="222">
        <f>SUM(B19:E19)</f>
        <v>60</v>
      </c>
      <c r="E70" s="223">
        <f>IF($C$13=0,F70/1.055,F70/((1.2*($C$19*$D$12/$C$13)+1.055*($B$19+$C$19*SUM($D$9:$D$11)/$C$13))/($B$19+$C$19)))</f>
        <v>0</v>
      </c>
      <c r="F70" s="176">
        <f>C70*SUM(B19:F19)</f>
        <v>0</v>
      </c>
      <c r="G70" s="224" t="str">
        <f>"TVA moyenne de "&amp;IF(E70=0,"",ROUND(100*(F70/E70-1),2))&amp;"% (prorata nb places)"</f>
        <v>TVA moyenne de % (prorata nb places)</v>
      </c>
    </row>
    <row r="71" spans="1:27" ht="14.25" customHeight="1">
      <c r="A71" s="99" t="s">
        <v>108</v>
      </c>
      <c r="B71" s="99"/>
      <c r="C71" s="225"/>
      <c r="D71" s="99"/>
      <c r="E71" s="101">
        <f>E65</f>
        <v>10751675</v>
      </c>
      <c r="F71" s="101">
        <f t="shared" ref="F71" si="12">F65</f>
        <v>11343017.125</v>
      </c>
      <c r="G71" s="102"/>
      <c r="H71" s="9"/>
      <c r="I71" s="9"/>
      <c r="J71" s="9"/>
      <c r="K71" s="9"/>
      <c r="L71" s="9"/>
      <c r="M71" s="9"/>
      <c r="N71" s="9"/>
      <c r="O71" s="9"/>
      <c r="P71" s="9"/>
      <c r="Q71" s="9"/>
      <c r="R71" s="9"/>
      <c r="S71" s="9"/>
      <c r="T71" s="9"/>
      <c r="U71" s="9"/>
      <c r="V71" s="9"/>
      <c r="W71" s="9"/>
      <c r="X71" s="9"/>
      <c r="Y71" s="9"/>
      <c r="Z71" s="9"/>
      <c r="AA71" s="9"/>
    </row>
    <row r="72" spans="1:27" ht="14.25" customHeight="1">
      <c r="A72" s="5"/>
      <c r="B72" s="5"/>
      <c r="C72" s="5"/>
      <c r="D72" s="5"/>
      <c r="E72" s="5"/>
      <c r="F72" s="5"/>
      <c r="G72" s="5"/>
    </row>
    <row r="73" spans="1:27" ht="21">
      <c r="A73" s="299" t="s">
        <v>109</v>
      </c>
      <c r="B73" s="299"/>
      <c r="C73" s="299"/>
      <c r="D73" s="299"/>
      <c r="E73" s="299"/>
      <c r="F73" s="299"/>
      <c r="G73" s="299"/>
      <c r="H73" s="114"/>
      <c r="I73" s="114"/>
      <c r="J73" s="114"/>
      <c r="K73" s="114"/>
      <c r="L73" s="114"/>
      <c r="M73" s="114"/>
      <c r="N73" s="114"/>
      <c r="O73" s="114"/>
      <c r="P73" s="114"/>
      <c r="Q73" s="114"/>
      <c r="R73" s="114"/>
      <c r="S73" s="114"/>
      <c r="T73" s="114"/>
      <c r="U73" s="114"/>
      <c r="V73" s="114"/>
      <c r="W73" s="114"/>
      <c r="X73" s="114"/>
      <c r="Y73" s="114"/>
      <c r="Z73" s="114"/>
    </row>
    <row r="74" spans="1:27" ht="44.25" customHeight="1">
      <c r="A74" s="314" t="s">
        <v>110</v>
      </c>
      <c r="B74" s="303"/>
      <c r="C74" s="290"/>
      <c r="D74" s="291"/>
      <c r="E74" s="291"/>
      <c r="F74" s="291"/>
      <c r="G74" s="292"/>
      <c r="H74" s="46"/>
      <c r="I74" s="46"/>
      <c r="J74" s="46"/>
      <c r="K74" s="46"/>
      <c r="L74" s="46"/>
      <c r="M74" s="46"/>
      <c r="N74" s="46"/>
      <c r="O74" s="46"/>
      <c r="P74" s="46"/>
      <c r="Q74" s="46"/>
      <c r="R74" s="46"/>
      <c r="S74" s="46"/>
      <c r="T74" s="46"/>
      <c r="U74" s="46"/>
      <c r="V74" s="46"/>
      <c r="W74" s="46"/>
      <c r="X74" s="46"/>
      <c r="Y74" s="46"/>
      <c r="Z74" s="46"/>
      <c r="AA74" s="46"/>
    </row>
    <row r="75" spans="1:27" ht="44.25" customHeight="1">
      <c r="A75" s="315" t="s">
        <v>170</v>
      </c>
      <c r="B75" s="303"/>
      <c r="C75" s="290"/>
      <c r="D75" s="291"/>
      <c r="E75" s="291"/>
      <c r="F75" s="291"/>
      <c r="G75" s="292"/>
      <c r="H75" s="46"/>
      <c r="I75" s="46"/>
      <c r="J75" s="46"/>
      <c r="K75" s="46"/>
      <c r="L75" s="46"/>
      <c r="M75" s="46"/>
      <c r="N75" s="46"/>
      <c r="O75" s="46"/>
      <c r="P75" s="46"/>
      <c r="Q75" s="46"/>
      <c r="R75" s="46"/>
      <c r="S75" s="46"/>
      <c r="T75" s="46"/>
      <c r="U75" s="46"/>
      <c r="V75" s="46"/>
      <c r="W75" s="46"/>
      <c r="X75" s="46"/>
      <c r="Y75" s="46"/>
      <c r="Z75" s="46"/>
      <c r="AA75" s="46"/>
    </row>
    <row r="76" spans="1:27" ht="48" customHeight="1">
      <c r="A76" s="367" t="s">
        <v>111</v>
      </c>
      <c r="B76" s="367"/>
      <c r="C76" s="290"/>
      <c r="D76" s="291"/>
      <c r="E76" s="291"/>
      <c r="F76" s="291"/>
      <c r="G76" s="292"/>
      <c r="H76" s="46"/>
      <c r="I76" s="46"/>
      <c r="J76" s="46"/>
      <c r="K76" s="46"/>
      <c r="L76" s="46"/>
      <c r="M76" s="46"/>
      <c r="N76" s="46"/>
      <c r="O76" s="46"/>
      <c r="P76" s="46"/>
      <c r="Q76" s="46"/>
      <c r="R76" s="46"/>
      <c r="S76" s="46"/>
      <c r="T76" s="46"/>
      <c r="U76" s="46"/>
      <c r="V76" s="46"/>
      <c r="W76" s="46"/>
      <c r="X76" s="46"/>
      <c r="Y76" s="46"/>
      <c r="Z76" s="46"/>
      <c r="AA76" s="46"/>
    </row>
    <row r="77" spans="1:27" ht="75.75" customHeight="1">
      <c r="A77" s="302" t="s">
        <v>112</v>
      </c>
      <c r="B77" s="303"/>
      <c r="C77" s="290"/>
      <c r="D77" s="291"/>
      <c r="E77" s="291"/>
      <c r="F77" s="291"/>
      <c r="G77" s="292"/>
      <c r="H77" s="46"/>
      <c r="I77" s="46"/>
      <c r="J77" s="46"/>
      <c r="K77" s="46"/>
      <c r="L77" s="46"/>
      <c r="M77" s="46"/>
      <c r="N77" s="46"/>
      <c r="O77" s="46"/>
      <c r="P77" s="46"/>
      <c r="Q77" s="46"/>
      <c r="R77" s="46"/>
      <c r="S77" s="46"/>
      <c r="T77" s="46"/>
      <c r="U77" s="46"/>
      <c r="V77" s="46"/>
      <c r="W77" s="46"/>
      <c r="X77" s="46"/>
      <c r="Y77" s="46"/>
      <c r="Z77" s="46"/>
      <c r="AA77" s="46"/>
    </row>
    <row r="78" spans="1:27" ht="48.75" customHeight="1">
      <c r="A78" s="302" t="s">
        <v>113</v>
      </c>
      <c r="B78" s="303"/>
      <c r="C78" s="290"/>
      <c r="D78" s="291"/>
      <c r="E78" s="291"/>
      <c r="F78" s="291"/>
      <c r="G78" s="292"/>
      <c r="H78" s="46"/>
      <c r="I78" s="46"/>
      <c r="J78" s="46"/>
      <c r="K78" s="46"/>
      <c r="L78" s="46"/>
      <c r="M78" s="46"/>
      <c r="N78" s="46"/>
      <c r="O78" s="46"/>
      <c r="P78" s="46"/>
      <c r="Q78" s="46"/>
      <c r="R78" s="46"/>
      <c r="S78" s="46"/>
      <c r="T78" s="46"/>
      <c r="U78" s="46"/>
      <c r="V78" s="46"/>
      <c r="W78" s="46"/>
      <c r="X78" s="46"/>
      <c r="Y78" s="46"/>
      <c r="Z78" s="46"/>
      <c r="AA78" s="46"/>
    </row>
    <row r="79" spans="1:27" ht="44.25" customHeight="1">
      <c r="A79" s="302" t="s">
        <v>114</v>
      </c>
      <c r="B79" s="303"/>
      <c r="C79" s="290"/>
      <c r="D79" s="291"/>
      <c r="E79" s="291"/>
      <c r="F79" s="291"/>
      <c r="G79" s="292"/>
      <c r="H79" s="46"/>
      <c r="I79" s="46"/>
      <c r="J79" s="46"/>
      <c r="K79" s="46"/>
      <c r="L79" s="46"/>
      <c r="M79" s="46"/>
      <c r="N79" s="46"/>
      <c r="O79" s="46"/>
      <c r="P79" s="46"/>
      <c r="Q79" s="46"/>
      <c r="R79" s="46"/>
      <c r="S79" s="46"/>
      <c r="T79" s="46"/>
      <c r="U79" s="46"/>
      <c r="V79" s="46"/>
      <c r="W79" s="46"/>
      <c r="X79" s="46"/>
      <c r="Y79" s="46"/>
      <c r="Z79" s="46"/>
      <c r="AA79" s="46"/>
    </row>
    <row r="80" spans="1:27"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5" customHeight="1"/>
    <row r="995" ht="15" customHeight="1"/>
    <row r="996" ht="15" customHeight="1"/>
    <row r="997" ht="15" customHeight="1"/>
    <row r="998" ht="15" customHeight="1"/>
    <row r="999" ht="15" customHeight="1"/>
    <row r="1000" ht="15" customHeight="1"/>
    <row r="1001" ht="15" customHeight="1"/>
  </sheetData>
  <sheetProtection algorithmName="SHA-512" hashValue="yS4urNBG1vO7rIO6qwzNa6wCe9tapR8WNNY5EZ/5DRN02eGAVWQp5gMix+EhTJS9R+ERw0zRf4YyAnevsEaVDg==" saltValue="GB9HC2jTjCmuirWdNLfbsw==" spinCount="100000" sheet="1" objects="1" scenarios="1"/>
  <mergeCells count="74">
    <mergeCell ref="A77:B77"/>
    <mergeCell ref="C77:G77"/>
    <mergeCell ref="A78:B78"/>
    <mergeCell ref="C78:G78"/>
    <mergeCell ref="A79:B79"/>
    <mergeCell ref="C79:G79"/>
    <mergeCell ref="A76:B76"/>
    <mergeCell ref="C76:G76"/>
    <mergeCell ref="A63:B63"/>
    <mergeCell ref="A66:B66"/>
    <mergeCell ref="A67:B67"/>
    <mergeCell ref="A68:B68"/>
    <mergeCell ref="A69:B69"/>
    <mergeCell ref="A70:B70"/>
    <mergeCell ref="A73:G73"/>
    <mergeCell ref="A74:B74"/>
    <mergeCell ref="C74:G74"/>
    <mergeCell ref="A75:B75"/>
    <mergeCell ref="C75:G75"/>
    <mergeCell ref="A62:B62"/>
    <mergeCell ref="A49:B49"/>
    <mergeCell ref="A50:B50"/>
    <mergeCell ref="A51:B51"/>
    <mergeCell ref="A52:B52"/>
    <mergeCell ref="A53:B53"/>
    <mergeCell ref="A55:B55"/>
    <mergeCell ref="A56:B56"/>
    <mergeCell ref="A57:B57"/>
    <mergeCell ref="A59:B59"/>
    <mergeCell ref="A60:B60"/>
    <mergeCell ref="A61:B61"/>
    <mergeCell ref="A48:B48"/>
    <mergeCell ref="E34:G34"/>
    <mergeCell ref="A36:A37"/>
    <mergeCell ref="B36:B37"/>
    <mergeCell ref="E36:G36"/>
    <mergeCell ref="E37:G37"/>
    <mergeCell ref="A38:A40"/>
    <mergeCell ref="B38:B40"/>
    <mergeCell ref="E38:G38"/>
    <mergeCell ref="E39:G39"/>
    <mergeCell ref="E40:G40"/>
    <mergeCell ref="A41:A42"/>
    <mergeCell ref="E41:G41"/>
    <mergeCell ref="E42:G42"/>
    <mergeCell ref="B43:G43"/>
    <mergeCell ref="A45:G45"/>
    <mergeCell ref="E33:G33"/>
    <mergeCell ref="C19:D19"/>
    <mergeCell ref="A20:A21"/>
    <mergeCell ref="C20:D21"/>
    <mergeCell ref="A23:G23"/>
    <mergeCell ref="E24:G24"/>
    <mergeCell ref="E25:G25"/>
    <mergeCell ref="E27:G27"/>
    <mergeCell ref="E28:G28"/>
    <mergeCell ref="E29:G29"/>
    <mergeCell ref="E30:G30"/>
    <mergeCell ref="E32:G32"/>
    <mergeCell ref="C18:D18"/>
    <mergeCell ref="C1:D1"/>
    <mergeCell ref="C2:D3"/>
    <mergeCell ref="E2:E3"/>
    <mergeCell ref="A5:G5"/>
    <mergeCell ref="B8:B12"/>
    <mergeCell ref="C8:D8"/>
    <mergeCell ref="E8:E12"/>
    <mergeCell ref="F8:F12"/>
    <mergeCell ref="G8:G12"/>
    <mergeCell ref="C13:D13"/>
    <mergeCell ref="C14:D14"/>
    <mergeCell ref="C15:D15"/>
    <mergeCell ref="C16:D16"/>
    <mergeCell ref="C17:D17"/>
  </mergeCells>
  <dataValidations count="5">
    <dataValidation type="whole" operator="lessThanOrEqual" allowBlank="1" showInputMessage="1" showErrorMessage="1" error="23 800 € TTC max" prompt="23 800 € TTC max" sqref="C70" xr:uid="{104FB7F1-911C-40DE-A42A-0D735C4698D4}">
      <formula1>23800</formula1>
    </dataValidation>
    <dataValidation type="whole" operator="lessThanOrEqual" allowBlank="1" showDropDown="1" showInputMessage="1" showErrorMessage="1" error="doit être inférieur ou égal au total de places B21+C21+E21+F21" prompt="Renseigner le nombre de places réalisé sur l'opération s'il est fait le choix de ne pas les positionner exclusivement hors site (concession longue durée)" sqref="D57" xr:uid="{F3B8999F-DD25-4D93-835C-5A540D1ECCEC}">
      <formula1>SUM(B19,C19,E19,F19)</formula1>
    </dataValidation>
    <dataValidation type="list" allowBlank="1" showInputMessage="1" showErrorMessage="1" sqref="D25 D27:D30 D32:D34 D36:D42" xr:uid="{4C96A130-1507-4CB9-AC7A-217BEECD5E44}">
      <formula1>"OUI,NON"</formula1>
    </dataValidation>
    <dataValidation type="list" allowBlank="1" showInputMessage="1" promptTitle="Choisir entre options tarifaires" prompt="   1. décaissement initial faible (18 300 € HT / pl) et frais de gestion annuels élevés_x000a_   2. décaissement initial élevé (21 650€ HT / pl) et frais de gestion annuels faibles" sqref="C53" xr:uid="{A97554E8-6905-4A5B-B340-948553F13AD7}">
      <formula1>"18300,21650"</formula1>
    </dataValidation>
    <dataValidation allowBlank="1" showErrorMessage="1" promptTitle="Choisir entre options" prompt="   - 2 250 € sans pk ou avec pk aérien_x000a_   - 2 300 € avec pk en ouvrage" sqref="B20" xr:uid="{5665CEFD-B72B-4B20-87B8-79D161AA0E88}"/>
  </dataValidations>
  <pageMargins left="0.23622047244094488" right="0.23622047244094488" top="0.74803149606299213" bottom="0.74803149606299213" header="0" footer="0"/>
  <pageSetup paperSize="8" scale="56"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Caractéristiques &amp; Optimisation</vt:lpstr>
      <vt:lpstr>1&amp;2A</vt:lpstr>
      <vt:lpstr>1B</vt:lpstr>
      <vt:lpstr>2B</vt:lpstr>
      <vt:lpstr>'1&amp;2A'!Zone_d_impression</vt:lpstr>
      <vt:lpstr>'1B'!Zone_d_impression</vt:lpstr>
      <vt:lpstr>'2B'!Zone_d_impression</vt:lpstr>
      <vt:lpstr>'Caractéristiques &amp; Optimisation'!Zone_d_impression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Jean-Emeric Monseau</cp:lastModifiedBy>
  <cp:lastPrinted>2023-02-02T10:41:02Z</cp:lastPrinted>
  <dcterms:modified xsi:type="dcterms:W3CDTF">2023-02-02T15:56:45Z</dcterms:modified>
</cp:coreProperties>
</file>