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P:\STRATEGIE PSO\MISE A JOUR 2023\2023 - GT\7 - TOP\230203 - Webinaire\"/>
    </mc:Choice>
  </mc:AlternateContent>
  <workbookProtection workbookAlgorithmName="SHA-512" workbookHashValue="t4P1dUNvK3l7yQS6eqtgKE/eI1S/rtp+pdALf8ryJQTzhj1SNtyQKJQ74N7SB84EeEShh7ikqOhogBpgtRBaaQ==" workbookSaltValue="DX+g7Cv8wu4Fi64HIV/Gfw==" workbookSpinCount="100000" lockStructure="1"/>
  <bookViews>
    <workbookView xWindow="0" yWindow="0" windowWidth="17256" windowHeight="4044"/>
  </bookViews>
  <sheets>
    <sheet name="Caractéristiques &amp; Optimisation" sheetId="2" r:id="rId1"/>
    <sheet name="1A" sheetId="4" r:id="rId2"/>
    <sheet name="1B" sheetId="10" r:id="rId3"/>
    <sheet name="1C" sheetId="11" r:id="rId4"/>
    <sheet name="2A" sheetId="12" r:id="rId5"/>
    <sheet name="2B" sheetId="13" r:id="rId6"/>
    <sheet name="2C" sheetId="14" r:id="rId7"/>
  </sheets>
  <definedNames>
    <definedName name="_xlnm.Print_Area" localSheetId="1">'1A'!$A$1:$G$87</definedName>
    <definedName name="_xlnm.Print_Area" localSheetId="2">'1B'!$A$1:$G$88</definedName>
    <definedName name="_xlnm.Print_Area" localSheetId="3">'1C'!$A$1:$G$88</definedName>
    <definedName name="_xlnm.Print_Area" localSheetId="4">'2A'!$A$1:$G$87</definedName>
    <definedName name="_xlnm.Print_Area" localSheetId="5">'2B'!$A$1:$G$87</definedName>
    <definedName name="_xlnm.Print_Area" localSheetId="6">'2C'!$A$1:$G$87</definedName>
    <definedName name="_xlnm.Print_Area" localSheetId="0">'Caractéristiques &amp; Optimisation'!$A$1:$G$64</definedName>
  </definedNames>
  <calcPr calcId="191029"/>
</workbook>
</file>

<file path=xl/calcChain.xml><?xml version="1.0" encoding="utf-8"?>
<calcChain xmlns="http://schemas.openxmlformats.org/spreadsheetml/2006/main">
  <c r="D59" i="14" l="1"/>
  <c r="D58" i="14"/>
  <c r="D58" i="11"/>
  <c r="D59" i="11"/>
  <c r="G57" i="13"/>
  <c r="G57" i="12"/>
  <c r="G57" i="10"/>
  <c r="G49" i="14"/>
  <c r="G49" i="13"/>
  <c r="G49" i="12"/>
  <c r="G49" i="11"/>
  <c r="G49" i="10"/>
  <c r="G49" i="4"/>
  <c r="G57" i="4"/>
  <c r="G61" i="4"/>
  <c r="D76" i="14" l="1"/>
  <c r="D75" i="14"/>
  <c r="C75" i="14"/>
  <c r="E75" i="14" s="1"/>
  <c r="F75" i="14" s="1"/>
  <c r="D74" i="14"/>
  <c r="F74" i="14" s="1"/>
  <c r="E74" i="14" s="1"/>
  <c r="D73" i="14"/>
  <c r="E73" i="14" s="1"/>
  <c r="F73" i="14" s="1"/>
  <c r="D72" i="14"/>
  <c r="E72" i="14" s="1"/>
  <c r="F72" i="14" s="1"/>
  <c r="C72" i="14"/>
  <c r="E71" i="14"/>
  <c r="F71" i="14" s="1"/>
  <c r="D71" i="14"/>
  <c r="C71" i="14"/>
  <c r="C70" i="14"/>
  <c r="F69" i="14"/>
  <c r="E69" i="14"/>
  <c r="D69" i="14"/>
  <c r="C69" i="14"/>
  <c r="E60" i="14"/>
  <c r="G60" i="14" s="1"/>
  <c r="E59" i="14"/>
  <c r="E58" i="14"/>
  <c r="E56" i="14"/>
  <c r="F56" i="14" s="1"/>
  <c r="D56" i="14"/>
  <c r="D55" i="14"/>
  <c r="E55" i="14" s="1"/>
  <c r="C54" i="14"/>
  <c r="D53" i="14"/>
  <c r="E53" i="14" s="1"/>
  <c r="D52" i="14"/>
  <c r="E52" i="14" s="1"/>
  <c r="F52" i="14" s="1"/>
  <c r="D51" i="14"/>
  <c r="C51" i="14"/>
  <c r="E51" i="14" s="1"/>
  <c r="D76" i="13"/>
  <c r="D75" i="13"/>
  <c r="C75" i="13"/>
  <c r="E75" i="13" s="1"/>
  <c r="F75" i="13" s="1"/>
  <c r="D74" i="13"/>
  <c r="F74" i="13" s="1"/>
  <c r="E74" i="13" s="1"/>
  <c r="D73" i="13"/>
  <c r="E73" i="13" s="1"/>
  <c r="F73" i="13" s="1"/>
  <c r="D72" i="13"/>
  <c r="C72" i="13"/>
  <c r="E72" i="13" s="1"/>
  <c r="F72" i="13" s="1"/>
  <c r="D71" i="13"/>
  <c r="C71" i="13"/>
  <c r="E71" i="13" s="1"/>
  <c r="F71" i="13" s="1"/>
  <c r="C70" i="13"/>
  <c r="F69" i="13"/>
  <c r="D69" i="13"/>
  <c r="C69" i="13"/>
  <c r="G60" i="13"/>
  <c r="E60" i="13"/>
  <c r="D59" i="13"/>
  <c r="E59" i="13" s="1"/>
  <c r="E58" i="13"/>
  <c r="G58" i="13" s="1"/>
  <c r="D58" i="13"/>
  <c r="D56" i="13"/>
  <c r="E56" i="13" s="1"/>
  <c r="F56" i="13" s="1"/>
  <c r="E55" i="13"/>
  <c r="G55" i="13" s="1"/>
  <c r="D55" i="13"/>
  <c r="C54" i="13"/>
  <c r="E53" i="13"/>
  <c r="D53" i="13"/>
  <c r="E52" i="13"/>
  <c r="F52" i="13" s="1"/>
  <c r="D52" i="13"/>
  <c r="D51" i="13"/>
  <c r="C51" i="13"/>
  <c r="E51" i="13" s="1"/>
  <c r="D76" i="12"/>
  <c r="D75" i="12"/>
  <c r="C75" i="12"/>
  <c r="E75" i="12" s="1"/>
  <c r="F75" i="12" s="1"/>
  <c r="D74" i="12"/>
  <c r="F74" i="12" s="1"/>
  <c r="E74" i="12" s="1"/>
  <c r="D73" i="12"/>
  <c r="E73" i="12" s="1"/>
  <c r="F73" i="12" s="1"/>
  <c r="D72" i="12"/>
  <c r="C72" i="12"/>
  <c r="E72" i="12" s="1"/>
  <c r="F72" i="12" s="1"/>
  <c r="E71" i="12"/>
  <c r="F71" i="12" s="1"/>
  <c r="D71" i="12"/>
  <c r="C71" i="12"/>
  <c r="C70" i="12"/>
  <c r="F69" i="12"/>
  <c r="E69" i="12"/>
  <c r="D69" i="12"/>
  <c r="C69" i="12"/>
  <c r="E60" i="12"/>
  <c r="G60" i="12" s="1"/>
  <c r="D59" i="12"/>
  <c r="E59" i="12" s="1"/>
  <c r="G58" i="12"/>
  <c r="E58" i="12"/>
  <c r="D58" i="12"/>
  <c r="E56" i="12"/>
  <c r="F56" i="12" s="1"/>
  <c r="D56" i="12"/>
  <c r="D55" i="12"/>
  <c r="E55" i="12" s="1"/>
  <c r="C54" i="12"/>
  <c r="D53" i="12"/>
  <c r="E53" i="12" s="1"/>
  <c r="D52" i="12"/>
  <c r="E52" i="12" s="1"/>
  <c r="F52" i="12" s="1"/>
  <c r="D51" i="12"/>
  <c r="C51" i="12"/>
  <c r="E51" i="12" s="1"/>
  <c r="D76" i="11"/>
  <c r="D75" i="11"/>
  <c r="C75" i="11"/>
  <c r="E75" i="11" s="1"/>
  <c r="F75" i="11" s="1"/>
  <c r="D74" i="11"/>
  <c r="F74" i="11" s="1"/>
  <c r="E74" i="11" s="1"/>
  <c r="D73" i="11"/>
  <c r="E73" i="11" s="1"/>
  <c r="F73" i="11" s="1"/>
  <c r="E72" i="11"/>
  <c r="F72" i="11" s="1"/>
  <c r="D72" i="11"/>
  <c r="C72" i="11"/>
  <c r="D71" i="11"/>
  <c r="C71" i="11"/>
  <c r="E71" i="11" s="1"/>
  <c r="F71" i="11" s="1"/>
  <c r="C70" i="11"/>
  <c r="D69" i="11"/>
  <c r="C69" i="11"/>
  <c r="F69" i="11" s="1"/>
  <c r="E60" i="11"/>
  <c r="G60" i="11" s="1"/>
  <c r="E59" i="11"/>
  <c r="E58" i="11"/>
  <c r="D56" i="11"/>
  <c r="E56" i="11" s="1"/>
  <c r="F56" i="11" s="1"/>
  <c r="E55" i="11"/>
  <c r="D55" i="11"/>
  <c r="C54" i="11"/>
  <c r="E53" i="11"/>
  <c r="D53" i="11"/>
  <c r="D52" i="11"/>
  <c r="E52" i="11" s="1"/>
  <c r="F52" i="11" s="1"/>
  <c r="D51" i="11"/>
  <c r="C51" i="11"/>
  <c r="E51" i="11" s="1"/>
  <c r="D76" i="10"/>
  <c r="D75" i="10"/>
  <c r="C75" i="10"/>
  <c r="E75" i="10" s="1"/>
  <c r="F75" i="10" s="1"/>
  <c r="F74" i="10"/>
  <c r="E74" i="10" s="1"/>
  <c r="D74" i="10"/>
  <c r="D73" i="10"/>
  <c r="E73" i="10" s="1"/>
  <c r="F73" i="10" s="1"/>
  <c r="D72" i="10"/>
  <c r="E72" i="10" s="1"/>
  <c r="F72" i="10" s="1"/>
  <c r="C72" i="10"/>
  <c r="E71" i="10"/>
  <c r="F71" i="10" s="1"/>
  <c r="D71" i="10"/>
  <c r="C71" i="10"/>
  <c r="C70" i="10"/>
  <c r="D69" i="10"/>
  <c r="C69" i="10"/>
  <c r="F69" i="10" s="1"/>
  <c r="G60" i="10"/>
  <c r="E60" i="10"/>
  <c r="D59" i="10"/>
  <c r="E59" i="10" s="1"/>
  <c r="G58" i="10"/>
  <c r="E58" i="10"/>
  <c r="D58" i="10"/>
  <c r="D56" i="10"/>
  <c r="E56" i="10" s="1"/>
  <c r="F56" i="10" s="1"/>
  <c r="D55" i="10"/>
  <c r="E55" i="10" s="1"/>
  <c r="C54" i="10"/>
  <c r="D53" i="10"/>
  <c r="E53" i="10" s="1"/>
  <c r="D52" i="10"/>
  <c r="E52" i="10" s="1"/>
  <c r="F52" i="10" s="1"/>
  <c r="D51" i="10"/>
  <c r="C51" i="10"/>
  <c r="E51" i="10" s="1"/>
  <c r="G60" i="4"/>
  <c r="G59" i="4"/>
  <c r="G58" i="4"/>
  <c r="G55" i="4"/>
  <c r="A4" i="14"/>
  <c r="A4" i="13"/>
  <c r="A4" i="12"/>
  <c r="A4" i="11"/>
  <c r="A4" i="10"/>
  <c r="A4" i="4"/>
  <c r="E1" i="4"/>
  <c r="E1" i="10"/>
  <c r="E1" i="11"/>
  <c r="E1" i="12"/>
  <c r="E1" i="13"/>
  <c r="D14" i="12"/>
  <c r="D14" i="10"/>
  <c r="D14" i="11"/>
  <c r="D14" i="13"/>
  <c r="C19" i="13" s="1"/>
  <c r="B20" i="14"/>
  <c r="B21" i="14" s="1"/>
  <c r="F15" i="14"/>
  <c r="F16" i="14" s="1"/>
  <c r="F17" i="14" s="1"/>
  <c r="D70" i="14" s="1"/>
  <c r="E15" i="14"/>
  <c r="E16" i="14" s="1"/>
  <c r="E17" i="14" s="1"/>
  <c r="C15" i="14"/>
  <c r="B15" i="14"/>
  <c r="A5" i="14"/>
  <c r="A3" i="14"/>
  <c r="A2" i="14"/>
  <c r="E1" i="14"/>
  <c r="F15" i="13"/>
  <c r="F16" i="13" s="1"/>
  <c r="F17" i="13" s="1"/>
  <c r="D70" i="13" s="1"/>
  <c r="E15" i="13"/>
  <c r="E16" i="13" s="1"/>
  <c r="E17" i="13" s="1"/>
  <c r="C15" i="13"/>
  <c r="C20" i="13" s="1"/>
  <c r="C21" i="13" s="1"/>
  <c r="B15" i="13"/>
  <c r="B20" i="13" s="1"/>
  <c r="B21" i="13" s="1"/>
  <c r="A5" i="13"/>
  <c r="A3" i="13"/>
  <c r="A2" i="13"/>
  <c r="F15" i="4"/>
  <c r="E15" i="4"/>
  <c r="C15" i="4"/>
  <c r="B15" i="4"/>
  <c r="E15" i="12"/>
  <c r="E16" i="12" s="1"/>
  <c r="E17" i="12" s="1"/>
  <c r="C15" i="12"/>
  <c r="A5" i="12"/>
  <c r="A3" i="12"/>
  <c r="A2" i="12"/>
  <c r="F15" i="11"/>
  <c r="F20" i="11" s="1"/>
  <c r="F21" i="11" s="1"/>
  <c r="F76" i="11" s="1"/>
  <c r="E76" i="11" s="1"/>
  <c r="G76" i="11" s="1"/>
  <c r="E15" i="11"/>
  <c r="E20" i="11" s="1"/>
  <c r="E21" i="11" s="1"/>
  <c r="C15" i="11"/>
  <c r="C20" i="11" s="1"/>
  <c r="C21" i="11" s="1"/>
  <c r="B15" i="11"/>
  <c r="B16" i="11" s="1"/>
  <c r="B17" i="11" s="1"/>
  <c r="F15" i="10"/>
  <c r="D54" i="10" s="1"/>
  <c r="E15" i="10"/>
  <c r="C15" i="10"/>
  <c r="B15" i="10"/>
  <c r="B20" i="11"/>
  <c r="B21" i="11" s="1"/>
  <c r="E16" i="11"/>
  <c r="E17" i="11" s="1"/>
  <c r="A5" i="11"/>
  <c r="A3" i="11"/>
  <c r="A2" i="11"/>
  <c r="E54" i="10" l="1"/>
  <c r="F54" i="10" s="1"/>
  <c r="F58" i="13"/>
  <c r="F70" i="13"/>
  <c r="E70" i="13" s="1"/>
  <c r="D54" i="13"/>
  <c r="E54" i="13" s="1"/>
  <c r="F54" i="13" s="1"/>
  <c r="F60" i="13"/>
  <c r="D54" i="14"/>
  <c r="E54" i="14" s="1"/>
  <c r="F54" i="14" s="1"/>
  <c r="F70" i="14"/>
  <c r="E70" i="14" s="1"/>
  <c r="E68" i="14" s="1"/>
  <c r="E77" i="14" s="1"/>
  <c r="F55" i="11"/>
  <c r="D54" i="11"/>
  <c r="E54" i="11" s="1"/>
  <c r="F51" i="14"/>
  <c r="F58" i="14"/>
  <c r="G58" i="14"/>
  <c r="F59" i="14"/>
  <c r="G59" i="14"/>
  <c r="E57" i="14"/>
  <c r="G53" i="14"/>
  <c r="F53" i="14"/>
  <c r="G55" i="14"/>
  <c r="F60" i="14"/>
  <c r="G59" i="13"/>
  <c r="F59" i="13"/>
  <c r="E57" i="13"/>
  <c r="F51" i="13"/>
  <c r="E50" i="13"/>
  <c r="E49" i="13" s="1"/>
  <c r="E69" i="13"/>
  <c r="F53" i="13"/>
  <c r="G53" i="13" s="1"/>
  <c r="F51" i="12"/>
  <c r="F53" i="12"/>
  <c r="G53" i="12" s="1"/>
  <c r="G55" i="12"/>
  <c r="G59" i="12"/>
  <c r="E57" i="12"/>
  <c r="G59" i="11"/>
  <c r="E57" i="11"/>
  <c r="E69" i="11"/>
  <c r="F51" i="11"/>
  <c r="G58" i="11"/>
  <c r="G55" i="11"/>
  <c r="F53" i="11"/>
  <c r="G53" i="11" s="1"/>
  <c r="F51" i="10"/>
  <c r="F53" i="10"/>
  <c r="G53" i="10" s="1"/>
  <c r="G59" i="10"/>
  <c r="E57" i="10"/>
  <c r="G55" i="10"/>
  <c r="E69" i="10"/>
  <c r="E18" i="14"/>
  <c r="F18" i="14"/>
  <c r="C20" i="14"/>
  <c r="C21" i="14" s="1"/>
  <c r="E20" i="14"/>
  <c r="E21" i="14" s="1"/>
  <c r="B16" i="14"/>
  <c r="B17" i="14" s="1"/>
  <c r="F20" i="14"/>
  <c r="F21" i="14" s="1"/>
  <c r="F76" i="14" s="1"/>
  <c r="E76" i="14" s="1"/>
  <c r="G76" i="14" s="1"/>
  <c r="C16" i="14"/>
  <c r="C17" i="14" s="1"/>
  <c r="D14" i="14"/>
  <c r="C19" i="14" s="1"/>
  <c r="C16" i="13"/>
  <c r="C17" i="13" s="1"/>
  <c r="E20" i="13"/>
  <c r="E21" i="13" s="1"/>
  <c r="B16" i="13"/>
  <c r="B17" i="13" s="1"/>
  <c r="E18" i="13"/>
  <c r="F18" i="13"/>
  <c r="C18" i="13"/>
  <c r="F20" i="13"/>
  <c r="F21" i="13" s="1"/>
  <c r="F76" i="13" s="1"/>
  <c r="E76" i="13" s="1"/>
  <c r="G76" i="13" s="1"/>
  <c r="E20" i="12"/>
  <c r="E21" i="12" s="1"/>
  <c r="C19" i="12"/>
  <c r="C20" i="12"/>
  <c r="C21" i="12" s="1"/>
  <c r="C16" i="12"/>
  <c r="E18" i="12"/>
  <c r="F16" i="11"/>
  <c r="F59" i="11" s="1"/>
  <c r="E18" i="11"/>
  <c r="C16" i="11"/>
  <c r="B18" i="11"/>
  <c r="E50" i="10" l="1"/>
  <c r="E49" i="10" s="1"/>
  <c r="E68" i="13"/>
  <c r="E77" i="13" s="1"/>
  <c r="E66" i="13" s="1"/>
  <c r="F57" i="13"/>
  <c r="F55" i="13"/>
  <c r="F50" i="13" s="1"/>
  <c r="F49" i="13" s="1"/>
  <c r="F68" i="13"/>
  <c r="F77" i="13" s="1"/>
  <c r="F55" i="14"/>
  <c r="E50" i="14"/>
  <c r="E49" i="14" s="1"/>
  <c r="F68" i="14"/>
  <c r="F77" i="14" s="1"/>
  <c r="F50" i="14"/>
  <c r="F49" i="14" s="1"/>
  <c r="F54" i="11"/>
  <c r="E50" i="11"/>
  <c r="E49" i="11" s="1"/>
  <c r="F58" i="11"/>
  <c r="F17" i="11"/>
  <c r="F60" i="11"/>
  <c r="F57" i="14"/>
  <c r="G57" i="14" s="1"/>
  <c r="E66" i="14"/>
  <c r="E63" i="14"/>
  <c r="E62" i="14"/>
  <c r="E65" i="14"/>
  <c r="E64" i="14"/>
  <c r="E65" i="13"/>
  <c r="E62" i="13"/>
  <c r="E64" i="13"/>
  <c r="F50" i="11"/>
  <c r="F49" i="11" s="1"/>
  <c r="E2" i="13"/>
  <c r="B18" i="14"/>
  <c r="C18" i="14"/>
  <c r="B18" i="13"/>
  <c r="C17" i="12"/>
  <c r="C19" i="11"/>
  <c r="C17" i="11"/>
  <c r="F57" i="11" l="1"/>
  <c r="G57" i="11" s="1"/>
  <c r="E63" i="13"/>
  <c r="E61" i="13" s="1"/>
  <c r="E67" i="13" s="1"/>
  <c r="F18" i="11"/>
  <c r="D70" i="11"/>
  <c r="F70" i="11" s="1"/>
  <c r="G65" i="14"/>
  <c r="F65" i="14"/>
  <c r="F66" i="14"/>
  <c r="G66" i="14"/>
  <c r="G62" i="14"/>
  <c r="F62" i="14"/>
  <c r="E61" i="14"/>
  <c r="E67" i="14" s="1"/>
  <c r="F63" i="14"/>
  <c r="G63" i="14"/>
  <c r="G64" i="14"/>
  <c r="F64" i="14"/>
  <c r="F64" i="13"/>
  <c r="G64" i="13"/>
  <c r="G62" i="13"/>
  <c r="F62" i="13"/>
  <c r="G65" i="13"/>
  <c r="F65" i="13"/>
  <c r="G66" i="13"/>
  <c r="F66" i="13"/>
  <c r="C18" i="12"/>
  <c r="C18" i="11"/>
  <c r="F63" i="13" l="1"/>
  <c r="F61" i="13" s="1"/>
  <c r="G63" i="13"/>
  <c r="E70" i="11"/>
  <c r="E68" i="11" s="1"/>
  <c r="E77" i="11" s="1"/>
  <c r="F68" i="11"/>
  <c r="F77" i="11" s="1"/>
  <c r="F61" i="14"/>
  <c r="E2" i="12"/>
  <c r="E2" i="11"/>
  <c r="E2" i="14"/>
  <c r="G61" i="13" l="1"/>
  <c r="F67" i="13"/>
  <c r="C78" i="13" s="1"/>
  <c r="E62" i="11"/>
  <c r="E64" i="11"/>
  <c r="E66" i="11"/>
  <c r="E63" i="11"/>
  <c r="E65" i="11"/>
  <c r="G61" i="14"/>
  <c r="F67" i="14"/>
  <c r="F78" i="13" l="1"/>
  <c r="F63" i="11"/>
  <c r="G63" i="11"/>
  <c r="E61" i="11"/>
  <c r="E67" i="11" s="1"/>
  <c r="F62" i="11"/>
  <c r="G62" i="11"/>
  <c r="G65" i="11"/>
  <c r="F65" i="11"/>
  <c r="F66" i="11"/>
  <c r="G66" i="11"/>
  <c r="G64" i="11"/>
  <c r="F64" i="11"/>
  <c r="C78" i="14"/>
  <c r="F78" i="14"/>
  <c r="F20" i="10"/>
  <c r="F21" i="10" s="1"/>
  <c r="E20" i="10"/>
  <c r="E21" i="10" s="1"/>
  <c r="C20" i="10"/>
  <c r="C21" i="10" s="1"/>
  <c r="B20" i="10"/>
  <c r="B21" i="10" s="1"/>
  <c r="F16" i="10"/>
  <c r="E16" i="10"/>
  <c r="E17" i="10" s="1"/>
  <c r="C16" i="10"/>
  <c r="C17" i="10" s="1"/>
  <c r="B16" i="10"/>
  <c r="B17" i="10" s="1"/>
  <c r="A5" i="10"/>
  <c r="A3" i="10"/>
  <c r="A2" i="10"/>
  <c r="C75" i="4"/>
  <c r="C72" i="4"/>
  <c r="C71" i="4"/>
  <c r="C70" i="4"/>
  <c r="C69" i="4"/>
  <c r="E60" i="4"/>
  <c r="D55" i="4"/>
  <c r="E55" i="4" s="1"/>
  <c r="D54" i="4"/>
  <c r="C54" i="4"/>
  <c r="D52" i="4"/>
  <c r="E52" i="4" s="1"/>
  <c r="F52" i="4" s="1"/>
  <c r="D51" i="4"/>
  <c r="C51" i="4"/>
  <c r="F20" i="4"/>
  <c r="F21" i="4" s="1"/>
  <c r="E20" i="4"/>
  <c r="E21" i="4" s="1"/>
  <c r="C20" i="4"/>
  <c r="C21" i="4" s="1"/>
  <c r="B20" i="4"/>
  <c r="B21" i="4" s="1"/>
  <c r="F16" i="4"/>
  <c r="F17" i="4" s="1"/>
  <c r="E16" i="4"/>
  <c r="E17" i="4" s="1"/>
  <c r="E18" i="4" s="1"/>
  <c r="C16" i="4"/>
  <c r="D72" i="4" s="1"/>
  <c r="B16" i="4"/>
  <c r="B17" i="4" s="1"/>
  <c r="D14" i="4"/>
  <c r="D53" i="4" s="1"/>
  <c r="E53" i="4" s="1"/>
  <c r="A5" i="4"/>
  <c r="A3" i="4"/>
  <c r="A2" i="4"/>
  <c r="F17" i="10" l="1"/>
  <c r="D70" i="10" s="1"/>
  <c r="F70" i="10" s="1"/>
  <c r="F58" i="10"/>
  <c r="F60" i="10"/>
  <c r="F59" i="10"/>
  <c r="F57" i="10" s="1"/>
  <c r="F76" i="10"/>
  <c r="E76" i="10" s="1"/>
  <c r="G76" i="10" s="1"/>
  <c r="F55" i="10"/>
  <c r="F50" i="10" s="1"/>
  <c r="F49" i="10" s="1"/>
  <c r="F61" i="11"/>
  <c r="E54" i="4"/>
  <c r="F54" i="4" s="1"/>
  <c r="D56" i="4"/>
  <c r="E56" i="4" s="1"/>
  <c r="F56" i="4" s="1"/>
  <c r="F18" i="10"/>
  <c r="C19" i="10"/>
  <c r="C18" i="10"/>
  <c r="B18" i="10"/>
  <c r="E18" i="10"/>
  <c r="D75" i="4"/>
  <c r="E75" i="4" s="1"/>
  <c r="F75" i="4" s="1"/>
  <c r="B18" i="4"/>
  <c r="C17" i="4"/>
  <c r="C18" i="4" s="1"/>
  <c r="D73" i="4" s="1"/>
  <c r="E73" i="4" s="1"/>
  <c r="F73" i="4" s="1"/>
  <c r="E51" i="4"/>
  <c r="F51" i="4" s="1"/>
  <c r="F60" i="4"/>
  <c r="F55" i="4"/>
  <c r="D70" i="4"/>
  <c r="F70" i="4" s="1"/>
  <c r="E70" i="4" s="1"/>
  <c r="F18" i="4"/>
  <c r="D74" i="4"/>
  <c r="F74" i="4" s="1"/>
  <c r="E74" i="4" s="1"/>
  <c r="C19" i="4"/>
  <c r="D76" i="4"/>
  <c r="D71" i="4"/>
  <c r="E71" i="4" s="1"/>
  <c r="F71" i="4" s="1"/>
  <c r="F53" i="4"/>
  <c r="G53" i="4" s="1"/>
  <c r="F76" i="4"/>
  <c r="D69" i="4"/>
  <c r="F69" i="4" s="1"/>
  <c r="E72" i="4"/>
  <c r="F72" i="4" s="1"/>
  <c r="E70" i="10" l="1"/>
  <c r="E68" i="10" s="1"/>
  <c r="E77" i="10" s="1"/>
  <c r="F68" i="10"/>
  <c r="F77" i="10" s="1"/>
  <c r="G61" i="11"/>
  <c r="F67" i="11"/>
  <c r="E2" i="4"/>
  <c r="E50" i="4"/>
  <c r="E49" i="4" s="1"/>
  <c r="E2" i="10"/>
  <c r="D59" i="4"/>
  <c r="E59" i="4" s="1"/>
  <c r="D58" i="4"/>
  <c r="E58" i="4" s="1"/>
  <c r="F58" i="4" s="1"/>
  <c r="E69" i="4"/>
  <c r="F68" i="4"/>
  <c r="F77" i="4" s="1"/>
  <c r="E76" i="4"/>
  <c r="G76" i="4" s="1"/>
  <c r="F50" i="4"/>
  <c r="F49" i="4" s="1"/>
  <c r="E65" i="10" l="1"/>
  <c r="E62" i="10"/>
  <c r="E66" i="10"/>
  <c r="E64" i="10"/>
  <c r="E63" i="10"/>
  <c r="F78" i="11"/>
  <c r="C78" i="11"/>
  <c r="E57" i="4"/>
  <c r="F59" i="4"/>
  <c r="E68" i="4"/>
  <c r="E77" i="4" s="1"/>
  <c r="E62" i="4" s="1"/>
  <c r="G62" i="4" s="1"/>
  <c r="F62" i="10" l="1"/>
  <c r="E61" i="10"/>
  <c r="E67" i="10" s="1"/>
  <c r="G62" i="10"/>
  <c r="F65" i="10"/>
  <c r="G65" i="10"/>
  <c r="G63" i="10"/>
  <c r="F63" i="10"/>
  <c r="G64" i="10"/>
  <c r="F64" i="10"/>
  <c r="F66" i="10"/>
  <c r="G66" i="10"/>
  <c r="F57" i="4"/>
  <c r="E66" i="4"/>
  <c r="E64" i="4"/>
  <c r="E65" i="4"/>
  <c r="E63" i="4"/>
  <c r="F62" i="4"/>
  <c r="F65" i="4" l="1"/>
  <c r="G65" i="4"/>
  <c r="F63" i="4"/>
  <c r="G63" i="4"/>
  <c r="F64" i="4"/>
  <c r="F61" i="4" s="1"/>
  <c r="G64" i="4"/>
  <c r="F66" i="4"/>
  <c r="G66" i="4"/>
  <c r="F61" i="10"/>
  <c r="E61" i="4"/>
  <c r="E67" i="4" s="1"/>
  <c r="G61" i="10" l="1"/>
  <c r="F67" i="10"/>
  <c r="F67" i="4"/>
  <c r="C78" i="10" l="1"/>
  <c r="F78" i="10"/>
  <c r="F78" i="4"/>
  <c r="C78" i="4"/>
  <c r="B15" i="12" l="1"/>
  <c r="B16" i="12" s="1"/>
  <c r="B17" i="12" l="1"/>
  <c r="B20" i="12"/>
  <c r="B21" i="12" s="1"/>
  <c r="B18" i="12" l="1"/>
  <c r="F15" i="12" l="1"/>
  <c r="F16" i="12" l="1"/>
  <c r="D54" i="12"/>
  <c r="E54" i="12" s="1"/>
  <c r="F17" i="12"/>
  <c r="D70" i="12" s="1"/>
  <c r="F70" i="12" s="1"/>
  <c r="F20" i="12"/>
  <c r="F21" i="12" s="1"/>
  <c r="F76" i="12" l="1"/>
  <c r="E76" i="12" s="1"/>
  <c r="G76" i="12" s="1"/>
  <c r="F55" i="12"/>
  <c r="F54" i="12"/>
  <c r="E50" i="12"/>
  <c r="E49" i="12" s="1"/>
  <c r="E70" i="12"/>
  <c r="F68" i="12"/>
  <c r="F77" i="12" s="1"/>
  <c r="F60" i="12"/>
  <c r="F59" i="12"/>
  <c r="F57" i="12" s="1"/>
  <c r="F58" i="12"/>
  <c r="F18" i="12"/>
  <c r="E68" i="12" l="1"/>
  <c r="E77" i="12" s="1"/>
  <c r="F50" i="12"/>
  <c r="F49" i="12" s="1"/>
  <c r="E65" i="12" l="1"/>
  <c r="E63" i="12"/>
  <c r="E62" i="12"/>
  <c r="E66" i="12"/>
  <c r="E64" i="12"/>
  <c r="G64" i="12" l="1"/>
  <c r="F64" i="12"/>
  <c r="G62" i="12"/>
  <c r="E61" i="12"/>
  <c r="E67" i="12" s="1"/>
  <c r="F62" i="12"/>
  <c r="G66" i="12"/>
  <c r="F66" i="12"/>
  <c r="G65" i="12"/>
  <c r="F65" i="12"/>
  <c r="F63" i="12"/>
  <c r="G63" i="12"/>
  <c r="F61" i="12" l="1"/>
  <c r="G61" i="12" l="1"/>
  <c r="F67" i="12"/>
  <c r="F78" i="12" l="1"/>
  <c r="C78" i="12"/>
</calcChain>
</file>

<file path=xl/comments1.xml><?xml version="1.0" encoding="utf-8"?>
<comments xmlns="http://schemas.openxmlformats.org/spreadsheetml/2006/main">
  <authors>
    <author/>
  </authors>
  <commentList>
    <comment ref="E1" authorId="0" shapeId="0">
      <text>
        <r>
          <rPr>
            <sz val="11"/>
            <color theme="1"/>
            <rFont val="Calibri"/>
            <scheme val="minor"/>
          </rPr>
          <t>Calcul automatique à partir du prix de sortie indiqué pour le libre VAD (E22) permettant de comparer à la cible sur Bordeaux Métropole</t>
        </r>
      </text>
    </comment>
    <comment ref="E2" authorId="0" shapeId="0">
      <text>
        <r>
          <rPr>
            <sz val="11"/>
            <color theme="1"/>
            <rFont val="Calibri"/>
            <scheme val="minor"/>
          </rPr>
          <t>Calcul automatique à partir de la répartition en accession encadrée (D11:D14) et le prix de sortie indiqué pour le libre VAD (E22)</t>
        </r>
      </text>
    </comment>
    <comment ref="D12" authorId="0" shapeId="0">
      <text>
        <r>
          <rPr>
            <sz val="11"/>
            <color theme="1"/>
            <rFont val="Calibri"/>
            <scheme val="minor"/>
          </rPr>
          <t>% de TVA réduite compris dans l'opération totale (SDP) (par défaut 0%)</t>
        </r>
      </text>
    </comment>
    <comment ref="D14" authorId="0" shapeId="0">
      <text>
        <r>
          <rPr>
            <sz val="11"/>
            <color theme="1"/>
            <rFont val="Calibri"/>
            <scheme val="minor"/>
          </rPr>
          <t>Calcul automatique (% total accession encadrée - somme % autres produits accession encadrée)</t>
        </r>
      </text>
    </comment>
    <comment ref="E22" authorId="0" shapeId="0">
      <text>
        <r>
          <rPr>
            <sz val="11"/>
            <color theme="1"/>
            <rFont val="Calibri"/>
            <scheme val="minor"/>
          </rPr>
          <t>Prix de vente (yc extérieurs et hors parking) à fixer pour atteindre l'équilibre entre le marché et les ambitions (par défaut : prix permettant un prix moyen toute accession exactement égal au prix du marché constaté sur la métropole)</t>
        </r>
      </text>
    </comment>
    <comment ref="F22" authorId="0" shapeId="0">
      <text>
        <r>
          <rPr>
            <sz val="11"/>
            <color theme="1"/>
            <rFont val="Calibri"/>
            <scheme val="minor"/>
          </rPr>
          <t>Prix de vente (yc extérieurs et hors parking) à fixer pour atteindre l'équilibre entre le marché et les ambitions (ne rentre pas dans le calcul du prix moyen plafonné)</t>
        </r>
      </text>
    </comment>
    <comment ref="C74" authorId="0" shapeId="0">
      <text>
        <r>
          <rPr>
            <sz val="11"/>
            <color theme="1"/>
            <rFont val="Calibri"/>
            <scheme val="minor"/>
          </rPr>
          <t>Auquel est ajouté 50% de 9m² d'extérieur par logement</t>
        </r>
      </text>
    </comment>
  </commentList>
</comments>
</file>

<file path=xl/comments2.xml><?xml version="1.0" encoding="utf-8"?>
<comments xmlns="http://schemas.openxmlformats.org/spreadsheetml/2006/main">
  <authors>
    <author/>
  </authors>
  <commentList>
    <comment ref="E1" authorId="0" shapeId="0">
      <text>
        <r>
          <rPr>
            <sz val="11"/>
            <color theme="1"/>
            <rFont val="Calibri"/>
            <scheme val="minor"/>
          </rPr>
          <t>Calcul automatique à partir du prix de sortie indiqué pour le libre VAD (E22) permettant de comparer à la cible sur Bordeaux Métropole</t>
        </r>
      </text>
    </comment>
    <comment ref="E2" authorId="0" shapeId="0">
      <text>
        <r>
          <rPr>
            <sz val="11"/>
            <color theme="1"/>
            <rFont val="Calibri"/>
            <scheme val="minor"/>
          </rPr>
          <t>Calcul automatique à partir de la répartition en accession encadrée (D11:D14) et le prix de sortie indiqué pour le libre VAD (E22)</t>
        </r>
      </text>
    </comment>
    <comment ref="D11" authorId="0" shapeId="0">
      <text>
        <r>
          <rPr>
            <sz val="11"/>
            <color theme="1"/>
            <rFont val="Calibri"/>
            <scheme val="minor"/>
          </rPr>
          <t>% de BRS compris dans l'opération totale (SDP) (par défaut 50% du total d'accession encadrée)</t>
        </r>
      </text>
    </comment>
    <comment ref="D12" authorId="0" shapeId="0">
      <text>
        <r>
          <rPr>
            <sz val="11"/>
            <color theme="1"/>
            <rFont val="Calibri"/>
            <scheme val="minor"/>
          </rPr>
          <t>% de TVA réduite compris dans l'opération totale (SDP) (par défaut : 0%)</t>
        </r>
      </text>
    </comment>
    <comment ref="D13" authorId="0" shapeId="0">
      <text>
        <r>
          <rPr>
            <sz val="11"/>
            <color theme="1"/>
            <rFont val="Calibri"/>
            <scheme val="minor"/>
          </rPr>
          <t>% de PSLA compris dans l'opération totale (SDP) (par défaut 50% du total de l'accession encadrée)</t>
        </r>
      </text>
    </comment>
    <comment ref="D14" authorId="0" shapeId="0">
      <text>
        <r>
          <rPr>
            <sz val="11"/>
            <color theme="1"/>
            <rFont val="Calibri"/>
            <scheme val="minor"/>
          </rPr>
          <t>Calcul automatique (% total accession encadrée - somme % autres produits accession encadrée)</t>
        </r>
      </text>
    </comment>
    <comment ref="E22" authorId="0" shapeId="0">
      <text>
        <r>
          <rPr>
            <sz val="11"/>
            <color theme="1"/>
            <rFont val="Calibri"/>
            <scheme val="minor"/>
          </rPr>
          <t>Prix de vente (yc extérieurs et hors parking) à fixer pour atteindre l'équilibre entre le marché et les ambitions (par défaut : prix permettant un prix moyen toute accession exactement égal au prix du marché constaté sur la métropole)</t>
        </r>
      </text>
    </comment>
    <comment ref="F22" authorId="0" shapeId="0">
      <text>
        <r>
          <rPr>
            <sz val="11"/>
            <color theme="1"/>
            <rFont val="Calibri"/>
            <scheme val="minor"/>
          </rPr>
          <t>Prix de vente (yc extérieurs et hors parking) à fixer pour atteindre l'équilibre entre le marché et les ambitions (ne rentre pas dans le calcul du prix moyen plafonné)
	-Jean-Emeric Monseau</t>
        </r>
      </text>
    </comment>
    <comment ref="C74" authorId="0" shapeId="0">
      <text>
        <r>
          <rPr>
            <sz val="11"/>
            <color theme="1"/>
            <rFont val="Calibri"/>
            <scheme val="minor"/>
          </rPr>
          <t>Auquel est ajouté 50% de 9m² d'extérieur par logement</t>
        </r>
      </text>
    </comment>
  </commentList>
</comments>
</file>

<file path=xl/comments3.xml><?xml version="1.0" encoding="utf-8"?>
<comments xmlns="http://schemas.openxmlformats.org/spreadsheetml/2006/main">
  <authors>
    <author/>
  </authors>
  <commentList>
    <comment ref="E1" authorId="0" shapeId="0">
      <text>
        <r>
          <rPr>
            <sz val="11"/>
            <color theme="1"/>
            <rFont val="Calibri"/>
            <scheme val="minor"/>
          </rPr>
          <t>Calcul automatique à partir du prix de sortie indiqué pour le libre VAD (E22) permettant de comparer à la cible sur Bordeaux Métropole</t>
        </r>
      </text>
    </comment>
    <comment ref="E2" authorId="0" shapeId="0">
      <text>
        <r>
          <rPr>
            <sz val="11"/>
            <color theme="1"/>
            <rFont val="Calibri"/>
            <scheme val="minor"/>
          </rPr>
          <t>Calcul automatique à partir de la répartition en accession encadrée (D11:D14) et le prix de sortie indiqué pour le libre VAD (E22)</t>
        </r>
      </text>
    </comment>
    <comment ref="D11" authorId="0" shapeId="0">
      <text>
        <r>
          <rPr>
            <sz val="11"/>
            <color theme="1"/>
            <rFont val="Calibri"/>
            <scheme val="minor"/>
          </rPr>
          <t>% de BRS compris dans l'opération totale (SDP) (par défaut 50% du total d'accession encadrée)</t>
        </r>
      </text>
    </comment>
    <comment ref="D12" authorId="0" shapeId="0">
      <text>
        <r>
          <rPr>
            <sz val="11"/>
            <color theme="1"/>
            <rFont val="Calibri"/>
            <scheme val="minor"/>
          </rPr>
          <t>% de TVA réduite compris dans l'opération totale (SDP) (par défaut : 0%)</t>
        </r>
      </text>
    </comment>
    <comment ref="D13" authorId="0" shapeId="0">
      <text>
        <r>
          <rPr>
            <sz val="11"/>
            <color theme="1"/>
            <rFont val="Calibri"/>
            <scheme val="minor"/>
          </rPr>
          <t>% de PSLA compris dans l'opération totale (SDP) (par défaut 50% du total de l'accession encadrée)</t>
        </r>
      </text>
    </comment>
    <comment ref="D14" authorId="0" shapeId="0">
      <text>
        <r>
          <rPr>
            <sz val="11"/>
            <color theme="1"/>
            <rFont val="Calibri"/>
            <scheme val="minor"/>
          </rPr>
          <t>Calcul automatique (% total accession encadrée - somme % autres produits accession encadrée)</t>
        </r>
      </text>
    </comment>
    <comment ref="E22" authorId="0" shapeId="0">
      <text>
        <r>
          <rPr>
            <sz val="11"/>
            <color theme="1"/>
            <rFont val="Calibri"/>
            <scheme val="minor"/>
          </rPr>
          <t>Prix de vente (yc extérieurs et hors parking) à fixer pour atteindre l'équilibre entre le marché et les ambitions (par défaut : prix permettant un prix moyen toute accession exactement égal au prix du marché constaté sur la métropole)</t>
        </r>
      </text>
    </comment>
    <comment ref="F22" authorId="0" shapeId="0">
      <text>
        <r>
          <rPr>
            <sz val="11"/>
            <color theme="1"/>
            <rFont val="Calibri"/>
            <scheme val="minor"/>
          </rPr>
          <t>Prix de vente (yc extérieurs et hors parking) à fixer pour atteindre l'équilibre entre le marché et les ambitions (ne rentre pas dans le calcul du prix moyen plafonné)
	-Jean-Emeric Monseau</t>
        </r>
      </text>
    </comment>
    <comment ref="C74" authorId="0" shapeId="0">
      <text>
        <r>
          <rPr>
            <sz val="11"/>
            <color theme="1"/>
            <rFont val="Calibri"/>
            <scheme val="minor"/>
          </rPr>
          <t>Auquel est ajouté 50% de 9m² d'extérieur par logement</t>
        </r>
      </text>
    </comment>
  </commentList>
</comments>
</file>

<file path=xl/comments4.xml><?xml version="1.0" encoding="utf-8"?>
<comments xmlns="http://schemas.openxmlformats.org/spreadsheetml/2006/main">
  <authors>
    <author/>
  </authors>
  <commentList>
    <comment ref="E1" authorId="0" shapeId="0">
      <text>
        <r>
          <rPr>
            <sz val="11"/>
            <color theme="1"/>
            <rFont val="Calibri"/>
            <scheme val="minor"/>
          </rPr>
          <t>Calcul automatique à partir du prix de sortie indiqué pour le libre VAD (E22) permettant de comparer à la cible sur Bordeaux Métropole</t>
        </r>
      </text>
    </comment>
    <comment ref="E2" authorId="0" shapeId="0">
      <text>
        <r>
          <rPr>
            <sz val="11"/>
            <color theme="1"/>
            <rFont val="Calibri"/>
            <scheme val="minor"/>
          </rPr>
          <t>Calcul automatique à partir de la répartition en accession encadrée (D11:D14) et le prix de sortie indiqué pour le libre VAD (E22)</t>
        </r>
      </text>
    </comment>
    <comment ref="D12" authorId="0" shapeId="0">
      <text>
        <r>
          <rPr>
            <sz val="11"/>
            <color theme="1"/>
            <rFont val="Calibri"/>
            <scheme val="minor"/>
          </rPr>
          <t>% de TVA réduite compris dans l'opération totale (SDP) (par défaut 0%)</t>
        </r>
      </text>
    </comment>
    <comment ref="D14" authorId="0" shapeId="0">
      <text>
        <r>
          <rPr>
            <sz val="11"/>
            <color theme="1"/>
            <rFont val="Calibri"/>
            <scheme val="minor"/>
          </rPr>
          <t>Calcul automatique (% total accession encadrée - somme % autres produits accession encadrée)</t>
        </r>
      </text>
    </comment>
    <comment ref="E22" authorId="0" shapeId="0">
      <text>
        <r>
          <rPr>
            <sz val="11"/>
            <color theme="1"/>
            <rFont val="Calibri"/>
            <scheme val="minor"/>
          </rPr>
          <t>Prix de vente (yc extérieurs et hors parking) à fixer pour atteindre l'équilibre entre le marché et les ambitions (par défaut : prix permettant un prix moyen toute accession exactement égal au prix du marché constaté sur la métropole)</t>
        </r>
      </text>
    </comment>
    <comment ref="F22" authorId="0" shapeId="0">
      <text>
        <r>
          <rPr>
            <sz val="11"/>
            <color theme="1"/>
            <rFont val="Calibri"/>
            <scheme val="minor"/>
          </rPr>
          <t>Prix de vente (yc extérieurs et hors parking) à fixer pour atteindre l'équilibre entre le marché et les ambitions (ne rentre pas dans le calcul du prix moyen plafonné)
	-Jean-Emeric Monseau</t>
        </r>
      </text>
    </comment>
    <comment ref="C74" authorId="0" shapeId="0">
      <text>
        <r>
          <rPr>
            <sz val="11"/>
            <color theme="1"/>
            <rFont val="Calibri"/>
            <scheme val="minor"/>
          </rPr>
          <t>Auquel est ajouté 50% de 9m² d'extérieur par logement</t>
        </r>
      </text>
    </comment>
  </commentList>
</comments>
</file>

<file path=xl/comments5.xml><?xml version="1.0" encoding="utf-8"?>
<comments xmlns="http://schemas.openxmlformats.org/spreadsheetml/2006/main">
  <authors>
    <author/>
  </authors>
  <commentList>
    <comment ref="E1" authorId="0" shapeId="0">
      <text>
        <r>
          <rPr>
            <sz val="11"/>
            <color theme="1"/>
            <rFont val="Calibri"/>
            <scheme val="minor"/>
          </rPr>
          <t>Calcul automatique à partir du prix de sortie indiqué pour le libre VAD (E22) permettant de comparer à la cible sur Bordeaux Métropole</t>
        </r>
      </text>
    </comment>
    <comment ref="E2" authorId="0" shapeId="0">
      <text>
        <r>
          <rPr>
            <sz val="11"/>
            <color theme="1"/>
            <rFont val="Calibri"/>
            <scheme val="minor"/>
          </rPr>
          <t>Calcul automatique à partir de la répartition en accession encadrée (D11:D14) et le prix de sortie indiqué pour le libre VAD (E22)</t>
        </r>
      </text>
    </comment>
    <comment ref="D11" authorId="0" shapeId="0">
      <text>
        <r>
          <rPr>
            <sz val="11"/>
            <color theme="1"/>
            <rFont val="Calibri"/>
            <scheme val="minor"/>
          </rPr>
          <t>% de BRS compris dans l'opération totale (SDP) (par défaut 50% du total d'accession encadrée)</t>
        </r>
      </text>
    </comment>
    <comment ref="D12" authorId="0" shapeId="0">
      <text>
        <r>
          <rPr>
            <sz val="11"/>
            <color theme="1"/>
            <rFont val="Calibri"/>
            <scheme val="minor"/>
          </rPr>
          <t>% de TVA réduite compris dans l'opération totale (SDP) (par défaut : 0%)</t>
        </r>
      </text>
    </comment>
    <comment ref="D13" authorId="0" shapeId="0">
      <text>
        <r>
          <rPr>
            <sz val="11"/>
            <color theme="1"/>
            <rFont val="Calibri"/>
            <scheme val="minor"/>
          </rPr>
          <t>% de PSLA compris dans l'opération totale (SDP) (par défaut 50% du total de l'accession encadrée)</t>
        </r>
      </text>
    </comment>
    <comment ref="D14" authorId="0" shapeId="0">
      <text>
        <r>
          <rPr>
            <sz val="11"/>
            <color theme="1"/>
            <rFont val="Calibri"/>
            <scheme val="minor"/>
          </rPr>
          <t>Calcul automatique (% total accession encadrée - somme % autres produits accession encadrée)</t>
        </r>
      </text>
    </comment>
    <comment ref="E22" authorId="0" shapeId="0">
      <text>
        <r>
          <rPr>
            <sz val="11"/>
            <color theme="1"/>
            <rFont val="Calibri"/>
            <scheme val="minor"/>
          </rPr>
          <t>Prix de vente (yc extérieurs et hors parking) à fixer pour atteindre l'équilibre entre le marché et les ambitions (par défaut : prix permettant un prix moyen toute accession exactement égal au prix du marché constaté sur la métropole)</t>
        </r>
      </text>
    </comment>
    <comment ref="F22" authorId="0" shapeId="0">
      <text>
        <r>
          <rPr>
            <sz val="11"/>
            <color theme="1"/>
            <rFont val="Calibri"/>
            <scheme val="minor"/>
          </rPr>
          <t>Prix de vente (yc extérieurs et hors parking) à fixer pour atteindre l'équilibre entre le marché et les ambitions (ne rentre pas dans le calcul du prix moyen plafonné)
	-Jean-Emeric Monseau</t>
        </r>
      </text>
    </comment>
    <comment ref="C74" authorId="0" shapeId="0">
      <text>
        <r>
          <rPr>
            <sz val="11"/>
            <color theme="1"/>
            <rFont val="Calibri"/>
            <scheme val="minor"/>
          </rPr>
          <t>Auquel est ajouté 50% de 9m² d'extérieur par logement</t>
        </r>
      </text>
    </comment>
  </commentList>
</comments>
</file>

<file path=xl/comments6.xml><?xml version="1.0" encoding="utf-8"?>
<comments xmlns="http://schemas.openxmlformats.org/spreadsheetml/2006/main">
  <authors>
    <author/>
  </authors>
  <commentList>
    <comment ref="E1" authorId="0" shapeId="0">
      <text>
        <r>
          <rPr>
            <sz val="11"/>
            <color theme="1"/>
            <rFont val="Calibri"/>
            <scheme val="minor"/>
          </rPr>
          <t>Calcul automatique à partir du prix de sortie indiqué pour le libre VAD (E22) permettant de comparer à la cible sur Bordeaux Métropole</t>
        </r>
      </text>
    </comment>
    <comment ref="E2" authorId="0" shapeId="0">
      <text>
        <r>
          <rPr>
            <sz val="11"/>
            <color theme="1"/>
            <rFont val="Calibri"/>
            <scheme val="minor"/>
          </rPr>
          <t>Calcul automatique à partir de la répartition en accession encadrée (D11:D14) et le prix de sortie indiqué pour le libre VAD (E22)</t>
        </r>
      </text>
    </comment>
    <comment ref="D11" authorId="0" shapeId="0">
      <text>
        <r>
          <rPr>
            <sz val="11"/>
            <color theme="1"/>
            <rFont val="Calibri"/>
            <scheme val="minor"/>
          </rPr>
          <t>% de BRS compris dans l'opération totale (SDP) (par défaut 50% du total d'accession encadrée)</t>
        </r>
      </text>
    </comment>
    <comment ref="D12" authorId="0" shapeId="0">
      <text>
        <r>
          <rPr>
            <sz val="11"/>
            <color theme="1"/>
            <rFont val="Calibri"/>
            <scheme val="minor"/>
          </rPr>
          <t>% de TVA réduite compris dans l'opération totale (SDP) (par défaut : 0%)</t>
        </r>
      </text>
    </comment>
    <comment ref="D13" authorId="0" shapeId="0">
      <text>
        <r>
          <rPr>
            <sz val="11"/>
            <color theme="1"/>
            <rFont val="Calibri"/>
            <scheme val="minor"/>
          </rPr>
          <t>% de PSLA compris dans l'opération totale (SDP) (par défaut 50% du total de l'accession encadrée)</t>
        </r>
      </text>
    </comment>
    <comment ref="D14" authorId="0" shapeId="0">
      <text>
        <r>
          <rPr>
            <sz val="11"/>
            <color theme="1"/>
            <rFont val="Calibri"/>
            <scheme val="minor"/>
          </rPr>
          <t>Calcul automatique (% total accession encadrée - somme % autres produits accession encadrée)</t>
        </r>
      </text>
    </comment>
    <comment ref="E22" authorId="0" shapeId="0">
      <text>
        <r>
          <rPr>
            <sz val="11"/>
            <color theme="1"/>
            <rFont val="Calibri"/>
            <scheme val="minor"/>
          </rPr>
          <t>Prix de vente (yc extérieurs et hors parking) à fixer pour atteindre l'équilibre entre le marché et les ambitions (par défaut : prix permettant un prix moyen toute accession exactement égal au prix du marché constaté sur la métropole)</t>
        </r>
      </text>
    </comment>
    <comment ref="F22" authorId="0" shapeId="0">
      <text>
        <r>
          <rPr>
            <sz val="11"/>
            <color theme="1"/>
            <rFont val="Calibri"/>
            <scheme val="minor"/>
          </rPr>
          <t>Prix de vente (yc extérieurs et hors parking) à fixer pour atteindre l'équilibre entre le marché et les ambitions (ne rentre pas dans le calcul du prix moyen plafonné)
	-Jean-Emeric Monseau</t>
        </r>
      </text>
    </comment>
    <comment ref="C74" authorId="0" shapeId="0">
      <text>
        <r>
          <rPr>
            <sz val="11"/>
            <color theme="1"/>
            <rFont val="Calibri"/>
            <scheme val="minor"/>
          </rPr>
          <t>Auquel est ajouté 50% de 9m² d'extérieur par logement</t>
        </r>
      </text>
    </comment>
  </commentList>
</comments>
</file>

<file path=xl/sharedStrings.xml><?xml version="1.0" encoding="utf-8"?>
<sst xmlns="http://schemas.openxmlformats.org/spreadsheetml/2006/main" count="987" uniqueCount="200">
  <si>
    <t>Type de promoteur répondant au test</t>
  </si>
  <si>
    <t xml:space="preserve">Il a été choisi de tester 2 scenarios de charge foncière correspondant à des secteurs différenciés. Ces scenarios sont croisés avec 3 types de programmation reflétant, pour les 2 premiers, les opérations actuellement réalisés au sein de l'OIN et pour le dernier, une programmation alternative mettant l'accent sur le logement locatif.
Les opérateurs sont tout d'abord invités à prendre en compte ces scénarios dans les onglets de simulation correspondant. Des questions ouvertes à la fin de ces onglets et l'onglet "Optimisations" permettent de proposer des scénarios alternatifs ou des adaptations de la programmation pour améliorer l'équilibre global des opérations. </t>
  </si>
  <si>
    <t>Produits</t>
  </si>
  <si>
    <t>Prix de vente</t>
  </si>
  <si>
    <t>A. Accession</t>
  </si>
  <si>
    <t>B. Accession + LLS VEFA</t>
  </si>
  <si>
    <t>C. Accession + Locatif + LLS VEFA</t>
  </si>
  <si>
    <t>1. Bordeaux-Bègles</t>
  </si>
  <si>
    <t>Libre</t>
  </si>
  <si>
    <t>Accession encadrée</t>
  </si>
  <si>
    <r>
      <rPr>
        <i/>
        <sz val="11"/>
        <color theme="1"/>
        <rFont val="Calibri"/>
      </rPr>
      <t xml:space="preserve">275 € / 350 € BRS </t>
    </r>
    <r>
      <rPr>
        <i/>
        <vertAlign val="superscript"/>
        <sz val="11"/>
        <color theme="1"/>
        <rFont val="Calibri"/>
      </rPr>
      <t>(2)</t>
    </r>
  </si>
  <si>
    <t>Plafond réglementaire (3) sauf BRS plafonné à -20% plafond PSLA</t>
  </si>
  <si>
    <t>LLS en VEFA</t>
  </si>
  <si>
    <t>2. Floirac</t>
  </si>
  <si>
    <t>Morphologie</t>
  </si>
  <si>
    <t>Stationnement</t>
  </si>
  <si>
    <t>cf. PLU de Bordeaux Métropole, zone UP19 en périmètre de modération, et arrêté du 30 juin 2022 relatif à la sécurisation des infrastructures de stationnement des vélos dans les bâtiments</t>
  </si>
  <si>
    <t>Répartition typologique</t>
  </si>
  <si>
    <t>Autres éléments à prendre en compte</t>
  </si>
  <si>
    <r>
      <rPr>
        <sz val="11"/>
        <color theme="1"/>
        <rFont val="Symbol"/>
      </rPr>
      <t xml:space="preserve"> </t>
    </r>
    <r>
      <rPr>
        <sz val="11"/>
        <color theme="1"/>
        <rFont val="Calibri"/>
      </rPr>
      <t>Raccordement obligatoire au</t>
    </r>
    <r>
      <rPr>
        <b/>
        <sz val="11"/>
        <color theme="1"/>
        <rFont val="Calibri"/>
      </rPr>
      <t xml:space="preserve"> réseau de chauffage urbain</t>
    </r>
  </si>
  <si>
    <r>
      <rPr>
        <sz val="11"/>
        <color theme="1"/>
        <rFont val="Symbol"/>
      </rPr>
      <t xml:space="preserve"> </t>
    </r>
    <r>
      <rPr>
        <sz val="11"/>
        <color theme="1"/>
        <rFont val="Calibri"/>
      </rPr>
      <t xml:space="preserve">Dépôt de permis de construire </t>
    </r>
    <r>
      <rPr>
        <b/>
        <sz val="11"/>
        <color theme="1"/>
        <rFont val="Calibri"/>
      </rPr>
      <t>avant le 1er janvier 2025</t>
    </r>
  </si>
  <si>
    <r>
      <rPr>
        <sz val="11"/>
        <color theme="1"/>
        <rFont val="Symbol"/>
      </rPr>
      <t></t>
    </r>
    <r>
      <rPr>
        <sz val="11"/>
        <color theme="1"/>
        <rFont val="Calibri"/>
      </rPr>
      <t xml:space="preserve"> </t>
    </r>
    <r>
      <rPr>
        <b/>
        <sz val="11"/>
        <color theme="1"/>
        <rFont val="Calibri"/>
      </rPr>
      <t>Un tiers de façades pleines</t>
    </r>
    <r>
      <rPr>
        <sz val="11"/>
        <color theme="1"/>
        <rFont val="Calibri"/>
      </rPr>
      <t xml:space="preserve"> constituées de matériaux pérennes</t>
    </r>
    <r>
      <rPr>
        <sz val="11"/>
        <color theme="1"/>
        <rFont val="Calibri"/>
      </rPr>
      <t xml:space="preserve"> </t>
    </r>
    <r>
      <rPr>
        <vertAlign val="superscript"/>
        <sz val="11"/>
        <color theme="1"/>
        <rFont val="Calibri"/>
      </rPr>
      <t>(1)</t>
    </r>
    <r>
      <rPr>
        <sz val="11"/>
        <color theme="1"/>
        <rFont val="Calibri"/>
      </rPr>
      <t>, en particulier pour les rez-de-chaussée, les façades potentiellement sollicitées et celles visibles depuis la rue</t>
    </r>
  </si>
  <si>
    <r>
      <rPr>
        <sz val="11"/>
        <color theme="1"/>
        <rFont val="Symbol"/>
      </rPr>
      <t xml:space="preserve"> </t>
    </r>
    <r>
      <rPr>
        <sz val="11"/>
        <color theme="1"/>
        <rFont val="Calibri"/>
      </rPr>
      <t xml:space="preserve">Démarche </t>
    </r>
    <r>
      <rPr>
        <b/>
        <sz val="11"/>
        <color theme="1"/>
        <rFont val="Calibri"/>
      </rPr>
      <t>BIM</t>
    </r>
    <r>
      <rPr>
        <sz val="11"/>
        <color theme="1"/>
        <rFont val="Calibri"/>
      </rPr>
      <t xml:space="preserve"> adaptée obligatoire </t>
    </r>
    <r>
      <rPr>
        <vertAlign val="superscript"/>
        <sz val="11"/>
        <color theme="1"/>
        <rFont val="Calibri"/>
      </rPr>
      <t>(2)</t>
    </r>
  </si>
  <si>
    <t>(1) De type : pierre calcaire en façade semi-porteuse (minimum 8 cm d’épaisseur) ou porteuse, brique pleine, béton architectonique (teinté dans la masse préfabriqué)...</t>
  </si>
  <si>
    <t>(2) L'EPA Bordeaux Euratlantique souhaite renouveler son approche en matière de BIM afin d'en faire un outil au service des projets. Il est désormais envisagé une simplification autour d'objectifs ciblés et limités, altruistes et utiles à tous, qui permettent de mettre en adéquation les cahiers des charges EPA et des maîtres d'ouvrage :</t>
  </si>
  <si>
    <t xml:space="preserve">      - La documentation BIM de l'EPA sera allégée, simplifiée et discutée en amont du projet. Les dictionnaires de données et les méthodes seront établis sur une base commune EPA/MOA afin d'éviter les demandes contradictoires entre le cahier des charges EPA et le cahier des charges MOA</t>
  </si>
  <si>
    <t>Optimisations</t>
  </si>
  <si>
    <t>Classement</t>
  </si>
  <si>
    <t>Commentaires et précisions</t>
  </si>
  <si>
    <r>
      <rPr>
        <i/>
        <sz val="11"/>
        <color theme="1"/>
        <rFont val="Calibri"/>
      </rPr>
      <t>Modification de la</t>
    </r>
    <r>
      <rPr>
        <b/>
        <i/>
        <sz val="11"/>
        <color theme="1"/>
        <rFont val="Calibri"/>
      </rPr>
      <t xml:space="preserve"> taille des logements</t>
    </r>
  </si>
  <si>
    <r>
      <rPr>
        <b/>
        <i/>
        <sz val="11"/>
        <color theme="1"/>
        <rFont val="Calibri"/>
      </rPr>
      <t xml:space="preserve">Répartition typologique (%T1, %T2, %T3, etc) </t>
    </r>
    <r>
      <rPr>
        <i/>
        <sz val="11"/>
        <color theme="1"/>
        <rFont val="Calibri"/>
      </rPr>
      <t>plus adaptée en accession permettant de répondre aux demandes des ménages</t>
    </r>
  </si>
  <si>
    <r>
      <rPr>
        <b/>
        <i/>
        <sz val="11"/>
        <color theme="1"/>
        <rFont val="Calibri"/>
      </rPr>
      <t>Modes de passation des marchés d'études et de travaux</t>
    </r>
    <r>
      <rPr>
        <i/>
        <sz val="11"/>
        <color theme="1"/>
        <rFont val="Calibri"/>
      </rPr>
      <t xml:space="preserve"> (conception-réalisation, TCE, macro-lots...)</t>
    </r>
  </si>
  <si>
    <r>
      <rPr>
        <b/>
        <i/>
        <sz val="11"/>
        <color theme="1"/>
        <rFont val="Calibri"/>
      </rPr>
      <t>Modes constructifs</t>
    </r>
    <r>
      <rPr>
        <i/>
        <sz val="11"/>
        <color theme="1"/>
        <rFont val="Calibri"/>
      </rPr>
      <t xml:space="preserve"> (poteaux-poutres...)</t>
    </r>
  </si>
  <si>
    <r>
      <rPr>
        <i/>
        <sz val="11"/>
        <color theme="1"/>
        <rFont val="Calibri"/>
      </rPr>
      <t xml:space="preserve">Diminution limitée de la </t>
    </r>
    <r>
      <rPr>
        <b/>
        <i/>
        <sz val="11"/>
        <color theme="1"/>
        <rFont val="Calibri"/>
      </rPr>
      <t>charge foncière</t>
    </r>
  </si>
  <si>
    <r>
      <rPr>
        <b/>
        <i/>
        <sz val="11"/>
        <color theme="1"/>
        <rFont val="Calibri"/>
      </rPr>
      <t>Densité/hauteur</t>
    </r>
    <r>
      <rPr>
        <i/>
        <sz val="11"/>
        <color theme="1"/>
        <rFont val="Calibri"/>
      </rPr>
      <t xml:space="preserve"> des constructions</t>
    </r>
  </si>
  <si>
    <t>Autres éléments pouvant avoir un impact sur les coûts de construction</t>
  </si>
  <si>
    <r>
      <rPr>
        <i/>
        <sz val="11"/>
        <color theme="1"/>
        <rFont val="Calibri"/>
      </rPr>
      <t xml:space="preserve">Quel serait l'impact de maximiser le nombre de </t>
    </r>
    <r>
      <rPr>
        <b/>
        <i/>
        <sz val="11"/>
        <color theme="1"/>
        <rFont val="Calibri"/>
      </rPr>
      <t>logements traversants</t>
    </r>
    <r>
      <rPr>
        <i/>
        <sz val="11"/>
        <color theme="1"/>
        <rFont val="Calibri"/>
      </rPr>
      <t xml:space="preserve"> (trame de 8 à 9m) ?</t>
    </r>
  </si>
  <si>
    <t>Autres</t>
  </si>
  <si>
    <t>Scénario 1A</t>
  </si>
  <si>
    <t>Bègles-Bordeaux</t>
  </si>
  <si>
    <r>
      <rPr>
        <sz val="11"/>
        <color theme="1"/>
        <rFont val="Calibri"/>
      </rPr>
      <t>Prix moyen toute accession harmonisé (65% libre VAD et 35% AE à 3 338 € HT / m² SU) yc</t>
    </r>
    <r>
      <rPr>
        <sz val="11"/>
        <color theme="1"/>
        <rFont val="Calibri"/>
      </rPr>
      <t xml:space="preserve"> extérieurs hors parking permettant de comparer à la cible</t>
    </r>
    <r>
      <rPr>
        <sz val="11"/>
        <color theme="1"/>
        <rFont val="Calibri"/>
      </rPr>
      <t xml:space="preserve"> sur Bordeaux Métropole</t>
    </r>
  </si>
  <si>
    <t>Pour rappel, Bordeaux Métropole en fin S1 2022 : 4 268 € TTC / m² SHAB yc extérieurs hors parking
Bordeaux intraboulevards : 4 510 € / m²
Bordeaux rive droite : 4 408 € / m²
Bègles : 4 506 € / m²
Floirac : 3 989 € / m²</t>
  </si>
  <si>
    <t>Pour info, prix moyen réel accession (hors vente en bloc) yc extérieurs hors parking</t>
  </si>
  <si>
    <t>PROGRAMME</t>
  </si>
  <si>
    <t>SDP logement (m²)</t>
  </si>
  <si>
    <t>Nb Logements</t>
  </si>
  <si>
    <t>Locatif social</t>
  </si>
  <si>
    <t>Libre VAD</t>
  </si>
  <si>
    <t>Vente en bloc (LLI et résidences gérées)</t>
  </si>
  <si>
    <t>Commentaires</t>
  </si>
  <si>
    <t>BRS</t>
  </si>
  <si>
    <t>TVA réduite QPV / ANRU</t>
  </si>
  <si>
    <t>PSLA</t>
  </si>
  <si>
    <t>Prix maîtrisé BxM
(hors BRS, ANRU et PSLA)</t>
  </si>
  <si>
    <r>
      <rPr>
        <b/>
        <i/>
        <sz val="11"/>
        <color theme="1"/>
        <rFont val="Calibri"/>
      </rPr>
      <t>Mixité sociale</t>
    </r>
    <r>
      <rPr>
        <b/>
        <i/>
        <sz val="11"/>
        <color theme="1"/>
        <rFont val="Calibri"/>
      </rPr>
      <t xml:space="preserve"> (en nb de logements)</t>
    </r>
  </si>
  <si>
    <t>SDP</t>
  </si>
  <si>
    <t>SHAB</t>
  </si>
  <si>
    <t>0,9 x SDP</t>
  </si>
  <si>
    <t>SU</t>
  </si>
  <si>
    <t>SHAB + 10m² ext</t>
  </si>
  <si>
    <r>
      <rPr>
        <b/>
        <i/>
        <sz val="11"/>
        <color theme="1"/>
        <rFont val="Calibri"/>
      </rPr>
      <t>Charges foncières</t>
    </r>
    <r>
      <rPr>
        <b/>
        <i/>
        <sz val="11"/>
        <color theme="1"/>
        <rFont val="Calibri"/>
      </rPr>
      <t xml:space="preserve"> (/m² SDP)</t>
    </r>
  </si>
  <si>
    <t>Nombre de logements</t>
  </si>
  <si>
    <t>Places de stationnement</t>
  </si>
  <si>
    <t>Prix de sortie (hors parking)</t>
  </si>
  <si>
    <r>
      <rPr>
        <sz val="9"/>
        <color rgb="FF000000"/>
        <rFont val="Calibri"/>
      </rPr>
      <t xml:space="preserve">   - </t>
    </r>
    <r>
      <rPr>
        <b/>
        <sz val="9"/>
        <color rgb="FF000000"/>
        <rFont val="Calibri"/>
      </rPr>
      <t>BRS : 2670 € HT / m² SU</t>
    </r>
    <r>
      <rPr>
        <sz val="9"/>
        <color rgb="FF000000"/>
        <rFont val="Calibri"/>
      </rPr>
      <t xml:space="preserve"> (20% en-dessous du plafond réglementaire du PSLA de 3 338 € HT / m² SU pour 2023)
   - </t>
    </r>
    <r>
      <rPr>
        <b/>
        <sz val="9"/>
        <color rgb="FF000000"/>
        <rFont val="Calibri"/>
      </rPr>
      <t>TVA réduite et PSLA : 3 338 € HT / m² SU</t>
    </r>
    <r>
      <rPr>
        <sz val="9"/>
        <color rgb="FF000000"/>
        <rFont val="Calibri"/>
      </rPr>
      <t xml:space="preserve">
   - </t>
    </r>
    <r>
      <rPr>
        <b/>
        <sz val="9"/>
        <color rgb="FF000000"/>
        <rFont val="Calibri"/>
      </rPr>
      <t>Prix maîtrisé BxM : 3 000 € TTC / m² SHAB hors ext</t>
    </r>
    <r>
      <rPr>
        <sz val="9"/>
        <color rgb="FF000000"/>
        <rFont val="Calibri"/>
      </rPr>
      <t xml:space="preserve"> (ext valorisés à 50% de 6 à 9 m²)</t>
    </r>
  </si>
  <si>
    <t>Délibération Bordeaux Métropole n° 2022-721 (prix plafond avec parking en ouvrage)</t>
  </si>
  <si>
    <t>Prix plafonné pour que le prix moyen de l'accession (65% AL VAD et 35% AE) hors extérieurs soit inférieur au prix moyen constaté par l'OISO sur Bordeaux Métropole en 2022</t>
  </si>
  <si>
    <t>AMBITIONS ENVIRONNEMENTALES</t>
  </si>
  <si>
    <t>Thématique</t>
  </si>
  <si>
    <t>Cible EPA</t>
  </si>
  <si>
    <t>Moyens</t>
  </si>
  <si>
    <t>Atteinte</t>
  </si>
  <si>
    <t>Si OUI, à quelle condition ?
Si NON, pourquoi ? Quelle solution alternative d'effet équivalent ou quel niveau d'ambition adapté ?</t>
  </si>
  <si>
    <t>Certification</t>
  </si>
  <si>
    <t>OUI</t>
  </si>
  <si>
    <t>CONFORT</t>
  </si>
  <si>
    <t>Espaces extérieurs</t>
  </si>
  <si>
    <t>10 m² / logement en moyenne, yc espaces mutualisés accessibles</t>
  </si>
  <si>
    <t>Confort acoustique</t>
  </si>
  <si>
    <t>Exigences certifications</t>
  </si>
  <si>
    <t>Confort visuel</t>
  </si>
  <si>
    <t>Confort d'été</t>
  </si>
  <si>
    <t>50h d'inconfort dans l'année justifés par une STD</t>
  </si>
  <si>
    <t>NATURE EN VILLE</t>
  </si>
  <si>
    <t>0,3 en tendant vers 25% de pleine terre</t>
  </si>
  <si>
    <t>Préservation de l'existant, végétalisation des façades et toitures, augmentation du nombre de strates et d'espèces, ajout d'aménités favorables</t>
  </si>
  <si>
    <t>Panneaux photovoltaïques</t>
  </si>
  <si>
    <t>Végétalisation des toitures tout en maximisant le potentiel PV</t>
  </si>
  <si>
    <t>Toiture bio-solaire</t>
  </si>
  <si>
    <t>Eclairage</t>
  </si>
  <si>
    <t>Adaptation de l'éclairage des bâtiments pour la biodiversité</t>
  </si>
  <si>
    <t>ENERGIE &amp; CARBONE</t>
  </si>
  <si>
    <t>Energie</t>
  </si>
  <si>
    <t>Sobriété énergétique</t>
  </si>
  <si>
    <t>Matériaux</t>
  </si>
  <si>
    <t>Impact carbone des matériaux</t>
  </si>
  <si>
    <t>Ic Construction 2022 - 50kgCO2</t>
  </si>
  <si>
    <t>Label biosourcé niveau 3</t>
  </si>
  <si>
    <t>Réemploi des matériaux</t>
  </si>
  <si>
    <t>Diagnostic PEMD et/ou ressources</t>
  </si>
  <si>
    <t>Construction neuve</t>
  </si>
  <si>
    <r>
      <rPr>
        <sz val="9"/>
        <color theme="1"/>
        <rFont val="Calibri"/>
      </rPr>
      <t>Matériau réemployé pour un ouvrage dans chacune des famil</t>
    </r>
    <r>
      <rPr>
        <sz val="9"/>
        <color theme="1"/>
        <rFont val="Calibri"/>
      </rPr>
      <t>les structure</t>
    </r>
    <r>
      <rPr>
        <sz val="9"/>
        <color theme="1"/>
        <rFont val="Calibri"/>
      </rPr>
      <t>, enveloppe et second œuvre</t>
    </r>
  </si>
  <si>
    <t>BILAN SYNTHETIQUE DE L'OPERATION</t>
  </si>
  <si>
    <t>Bilan synthétique de l'opération</t>
  </si>
  <si>
    <t>Prix unitaire</t>
  </si>
  <si>
    <t>Quantité</t>
  </si>
  <si>
    <t>€ HT</t>
  </si>
  <si>
    <t>€ TTC</t>
  </si>
  <si>
    <t>Foncier</t>
  </si>
  <si>
    <t xml:space="preserve">   dont charges foncières</t>
  </si>
  <si>
    <t>LLS</t>
  </si>
  <si>
    <t>TVA 5,5%</t>
  </si>
  <si>
    <t>Autre accession encadrée</t>
  </si>
  <si>
    <t>TVA 20%</t>
  </si>
  <si>
    <t xml:space="preserve">   dont décaissement des conventions de longue durée</t>
  </si>
  <si>
    <t>Travaux</t>
  </si>
  <si>
    <t xml:space="preserve">   dont preparation des sols</t>
  </si>
  <si>
    <t xml:space="preserve">   dont travaux de contruction hors parking</t>
  </si>
  <si>
    <t xml:space="preserve">   dont travaux de construction parking</t>
  </si>
  <si>
    <t>Autres frais</t>
  </si>
  <si>
    <t xml:space="preserve">   dont fiscalité</t>
  </si>
  <si>
    <t>du CA HT</t>
  </si>
  <si>
    <t xml:space="preserve">   dont honoraires techniques</t>
  </si>
  <si>
    <t xml:space="preserve">   dont honoraires commerciaux / communication / distribution</t>
  </si>
  <si>
    <t xml:space="preserve">   dont honoraires gestion</t>
  </si>
  <si>
    <t xml:space="preserve">   dont frais financiers/juridique/assurance</t>
  </si>
  <si>
    <t>TOTAL DEPENSES</t>
  </si>
  <si>
    <t>Ventes</t>
  </si>
  <si>
    <t xml:space="preserve">   dont accession libre VAD (yc extérieurs, hors parkings)</t>
  </si>
  <si>
    <t xml:space="preserve">   dont accession libre VEB (LLI et résidence) (yc ext, hors pk)</t>
  </si>
  <si>
    <t xml:space="preserve">   dont BRS immobilier</t>
  </si>
  <si>
    <t xml:space="preserve">   dont BRS foncier</t>
  </si>
  <si>
    <t xml:space="preserve">   dont accession sociale hors BRS (TVA réduite et PSLA)</t>
  </si>
  <si>
    <t xml:space="preserve">   dont prix maîtrisé BxM</t>
  </si>
  <si>
    <t xml:space="preserve">   dont LLS</t>
  </si>
  <si>
    <t xml:space="preserve">   dont places de stationnement</t>
  </si>
  <si>
    <t>TOTAL RECETTES</t>
  </si>
  <si>
    <t>Marge (en % du CA)</t>
  </si>
  <si>
    <t>COMMENTAIRES</t>
  </si>
  <si>
    <r>
      <rPr>
        <sz val="11"/>
        <color rgb="FF000000"/>
        <rFont val="Calibri"/>
      </rPr>
      <t xml:space="preserve">Comment a été </t>
    </r>
    <r>
      <rPr>
        <b/>
        <sz val="11"/>
        <color rgb="FF000000"/>
        <rFont val="Calibri"/>
      </rPr>
      <t>fixé le prix de vente</t>
    </r>
    <r>
      <rPr>
        <sz val="11"/>
        <color rgb="FF000000"/>
        <rFont val="Calibri"/>
      </rPr>
      <t xml:space="preserve"> proposé sur l'accession libre (VAD) de manière à garantir l'atteinte d'un maximum des ambitions fixées, l'effet régulateur sur les prix immobiliers et la commercialisation ?</t>
    </r>
  </si>
  <si>
    <r>
      <rPr>
        <sz val="11"/>
        <color rgb="FF000000"/>
        <rFont val="Calibri"/>
      </rPr>
      <t xml:space="preserve">Si toutes les </t>
    </r>
    <r>
      <rPr>
        <b/>
        <sz val="11"/>
        <color rgb="FF000000"/>
        <rFont val="Calibri"/>
      </rPr>
      <t>ambitions</t>
    </r>
    <r>
      <rPr>
        <sz val="11"/>
        <color rgb="FF000000"/>
        <rFont val="Calibri"/>
      </rPr>
      <t xml:space="preserve"> ne peuvent être atteintes, comment avez-vous </t>
    </r>
    <r>
      <rPr>
        <b/>
        <sz val="11"/>
        <color rgb="FF000000"/>
        <rFont val="Calibri"/>
      </rPr>
      <t>priorisé vos choix</t>
    </r>
    <r>
      <rPr>
        <sz val="11"/>
        <color rgb="FF000000"/>
        <rFont val="Calibri"/>
      </rPr>
      <t xml:space="preserve"> et quels </t>
    </r>
    <r>
      <rPr>
        <b/>
        <sz val="11"/>
        <color rgb="FF000000"/>
        <rFont val="Calibri"/>
      </rPr>
      <t>facteurs vous semblent décisifs</t>
    </r>
    <r>
      <rPr>
        <sz val="11"/>
        <color rgb="FF000000"/>
        <rFont val="Calibri"/>
      </rPr>
      <t xml:space="preserve"> à ce titre pour tenir l'équilibre économique de l'opération ?</t>
    </r>
  </si>
  <si>
    <r>
      <rPr>
        <sz val="11"/>
        <color rgb="FF000000"/>
        <rFont val="Calibri"/>
      </rPr>
      <t xml:space="preserve">Dans la quote-part de libre, y a -t-il pour vous un </t>
    </r>
    <r>
      <rPr>
        <b/>
        <sz val="11"/>
        <color rgb="FF000000"/>
        <rFont val="Calibri"/>
      </rPr>
      <t>intérêt au développement de logements intermédiaires pour investisseurs institutionnels OU de vente en bloc</t>
    </r>
    <r>
      <rPr>
        <sz val="11"/>
        <color rgb="FF000000"/>
        <rFont val="Calibri"/>
      </rPr>
      <t xml:space="preserve"> ? Si oui, lesquels et dans quelles proportions ?</t>
    </r>
  </si>
  <si>
    <r>
      <rPr>
        <sz val="11"/>
        <color rgb="FF000000"/>
        <rFont val="Calibri"/>
      </rPr>
      <t xml:space="preserve">Vous paraît-il possible d'augmenter le </t>
    </r>
    <r>
      <rPr>
        <b/>
        <sz val="11"/>
        <color rgb="FF000000"/>
        <rFont val="Calibri"/>
      </rPr>
      <t>prix de vente du BRS</t>
    </r>
    <r>
      <rPr>
        <sz val="11"/>
        <color rgb="FF000000"/>
        <rFont val="Calibri"/>
      </rPr>
      <t xml:space="preserve"> au-delà de celui fixé tout en permettant le développement massif de ce produit ? Et pour quel gain sur la qualité du projet ?</t>
    </r>
  </si>
  <si>
    <r>
      <rPr>
        <sz val="11"/>
        <color rgb="FF000000"/>
        <rFont val="Calibri"/>
      </rPr>
      <t xml:space="preserve">Plus globalement, existe-t-il une </t>
    </r>
    <r>
      <rPr>
        <b/>
        <sz val="11"/>
        <color rgb="FF000000"/>
        <rFont val="Calibri"/>
      </rPr>
      <t>part de l'accession encadrée</t>
    </r>
    <r>
      <rPr>
        <sz val="11"/>
        <color rgb="FF000000"/>
        <rFont val="Calibri"/>
      </rPr>
      <t xml:space="preserve"> qui vous semble plus optimale pour répondre aux demandes des ménages ou garantir les ambitions ? Dans ce cas, pour quel(s) type(s) d'accession encadrée (sociale (BRS ou PSLA) ou autres (TVA réduite, prêt 0% Bx Métropole)) et selon quelle répartition programmatique (sans modifier la part de locatif social) ?</t>
    </r>
  </si>
  <si>
    <r>
      <rPr>
        <sz val="11"/>
        <color rgb="FF000000"/>
        <rFont val="Calibri"/>
      </rPr>
      <t xml:space="preserve">Quelle serait, selon vous, la </t>
    </r>
    <r>
      <rPr>
        <b/>
        <sz val="11"/>
        <color rgb="FF000000"/>
        <rFont val="Calibri"/>
      </rPr>
      <t>taille critique/idéale</t>
    </r>
    <r>
      <rPr>
        <sz val="11"/>
        <color rgb="FF000000"/>
        <rFont val="Calibri"/>
      </rPr>
      <t xml:space="preserve"> d'une opération avec la mixité sociale présentée ici permettant répondre aux ambitions environnementales ?</t>
    </r>
  </si>
  <si>
    <t>Autres remarques</t>
  </si>
  <si>
    <t>0,5/log pour le LLS et 0,7 pour le reste (1pl / 100m²)</t>
  </si>
  <si>
    <t>Scénario 1B</t>
  </si>
  <si>
    <r>
      <t xml:space="preserve">Dans quelle mesure la </t>
    </r>
    <r>
      <rPr>
        <b/>
        <sz val="11"/>
        <color rgb="FF000000"/>
        <rFont val="Calibri"/>
        <family val="2"/>
      </rPr>
      <t>part de LLS peut-elle être portée à 40% sur la commune de Bordeaux</t>
    </r>
    <r>
      <rPr>
        <sz val="11"/>
        <color rgb="FF000000"/>
        <rFont val="Calibri"/>
        <family val="2"/>
      </rPr>
      <t xml:space="preserve"> (charge foncière, répartition du reste de la programmation, ambitions...) ?</t>
    </r>
  </si>
  <si>
    <t>Scénario 1C</t>
  </si>
  <si>
    <t>Scénario 2A</t>
  </si>
  <si>
    <t>Floirac</t>
  </si>
  <si>
    <t>Prix moyen toute accession harmonisé (60% libre VAD et 40% AE à 3 338 € HT / m² SU) yc extérieurs hors parking permettant de comparer à la cible sur Bordeaux Métropole</t>
  </si>
  <si>
    <t>Scénario 2B</t>
  </si>
  <si>
    <t>Scénario 2C</t>
  </si>
  <si>
    <r>
      <rPr>
        <sz val="11"/>
        <color theme="1"/>
        <rFont val="Symbol"/>
        <family val="1"/>
        <charset val="2"/>
      </rPr>
      <t xml:space="preserve"> </t>
    </r>
    <r>
      <rPr>
        <sz val="11"/>
        <color theme="1"/>
        <rFont val="Calibri"/>
      </rPr>
      <t>Milieu urbain constitué (chantier complexe et contraint)</t>
    </r>
  </si>
  <si>
    <r>
      <rPr>
        <sz val="11"/>
        <color theme="1"/>
        <rFont val="Symbol"/>
        <family val="1"/>
        <charset val="2"/>
      </rPr>
      <t xml:space="preserve"> </t>
    </r>
    <r>
      <rPr>
        <sz val="11"/>
        <color theme="1"/>
        <rFont val="Calibri"/>
      </rPr>
      <t>100% logement</t>
    </r>
  </si>
  <si>
    <r>
      <rPr>
        <sz val="11"/>
        <color theme="1"/>
        <rFont val="Symbol"/>
        <family val="1"/>
        <charset val="2"/>
      </rPr>
      <t></t>
    </r>
    <r>
      <rPr>
        <sz val="11"/>
        <color theme="1"/>
        <rFont val="Calibri"/>
        <family val="2"/>
      </rPr>
      <t xml:space="preserve"> </t>
    </r>
    <r>
      <rPr>
        <sz val="11"/>
        <color theme="1"/>
        <rFont val="Calibri"/>
      </rPr>
      <t>7 000 m² (environ 100 logements)</t>
    </r>
  </si>
  <si>
    <r>
      <rPr>
        <sz val="11"/>
        <color theme="1"/>
        <rFont val="Symbol"/>
        <family val="1"/>
        <charset val="2"/>
      </rPr>
      <t></t>
    </r>
    <r>
      <rPr>
        <sz val="11"/>
        <color theme="1"/>
        <rFont val="Calibri"/>
        <family val="2"/>
      </rPr>
      <t xml:space="preserve"> </t>
    </r>
    <r>
      <rPr>
        <sz val="11"/>
        <color theme="1"/>
        <rFont val="Calibri"/>
      </rPr>
      <t>Hors 4ème famille, pour un COS d'environ 2,5 (hors parking)</t>
    </r>
  </si>
  <si>
    <r>
      <rPr>
        <sz val="11"/>
        <color theme="1"/>
        <rFont val="Symbol"/>
        <family val="1"/>
        <charset val="2"/>
      </rPr>
      <t></t>
    </r>
    <r>
      <rPr>
        <sz val="11"/>
        <color theme="1"/>
        <rFont val="Calibri"/>
        <family val="2"/>
      </rPr>
      <t xml:space="preserve"> </t>
    </r>
    <r>
      <rPr>
        <sz val="11"/>
        <color theme="1"/>
        <rFont val="Calibri"/>
      </rPr>
      <t>Eviter les sous sol (interdiction des sous-sols dans le cadre du PPRI)</t>
    </r>
  </si>
  <si>
    <r>
      <rPr>
        <sz val="11"/>
        <color theme="1"/>
        <rFont val="Symbol"/>
        <family val="1"/>
        <charset val="2"/>
      </rPr>
      <t></t>
    </r>
    <r>
      <rPr>
        <sz val="11"/>
        <color theme="1"/>
        <rFont val="Calibri"/>
        <family val="2"/>
      </rPr>
      <t xml:space="preserve"> </t>
    </r>
    <r>
      <rPr>
        <sz val="11"/>
        <color theme="1"/>
        <rFont val="Calibri"/>
      </rPr>
      <t>Présence de fondations profondes (35m)</t>
    </r>
  </si>
  <si>
    <r>
      <rPr>
        <sz val="11"/>
        <color theme="1"/>
        <rFont val="Symbol"/>
        <family val="1"/>
        <charset val="2"/>
      </rPr>
      <t></t>
    </r>
    <r>
      <rPr>
        <sz val="11"/>
        <color theme="1"/>
        <rFont val="Calibri"/>
      </rPr>
      <t xml:space="preserve"> Véhicules légers : max 0,5 pl / log pour le locatif social et 1 pl / 100m² SDP pour le reste</t>
    </r>
    <r>
      <rPr>
        <sz val="11"/>
        <color theme="1"/>
        <rFont val="Calibri"/>
        <family val="1"/>
        <charset val="2"/>
      </rPr>
      <t xml:space="preserve"> (0,7 / log)</t>
    </r>
  </si>
  <si>
    <r>
      <rPr>
        <sz val="11"/>
        <color rgb="FF000000"/>
        <rFont val="Symbol"/>
        <family val="1"/>
        <charset val="2"/>
      </rPr>
      <t></t>
    </r>
    <r>
      <rPr>
        <sz val="11"/>
        <color rgb="FF000000"/>
        <rFont val="Calibri"/>
        <family val="2"/>
      </rPr>
      <t xml:space="preserve"> </t>
    </r>
    <r>
      <rPr>
        <sz val="11"/>
        <color rgb="FF000000"/>
        <rFont val="Calibri"/>
      </rPr>
      <t>Vélos : 5% de la SDP totale hors circulation dans un local en rez-de-chaussée (min 1 pl de 1,5m²/log pour T1 et T2 et 2 pl pour T3 et supérieur)</t>
    </r>
  </si>
  <si>
    <t>(2) Une part faible de T1 pourra être proposée par le porteur de projet et le bailleur social gestionnaire et soumis à accord de l’EPA.
(3) Le porteur de projet privilégiera une part plus importante de T4 sur le développement de T5.</t>
  </si>
  <si>
    <r>
      <rPr>
        <sz val="11"/>
        <color theme="1"/>
        <rFont val="Symbol"/>
        <family val="1"/>
        <charset val="2"/>
      </rPr>
      <t></t>
    </r>
    <r>
      <rPr>
        <sz val="11"/>
        <color theme="1"/>
        <rFont val="Calibri"/>
        <family val="2"/>
      </rPr>
      <t xml:space="preserve"> </t>
    </r>
    <r>
      <rPr>
        <sz val="11"/>
        <color theme="1"/>
        <rFont val="Calibri"/>
      </rPr>
      <t>Autres produits :</t>
    </r>
  </si>
  <si>
    <r>
      <rPr>
        <sz val="11"/>
        <color theme="1"/>
        <rFont val="Symbol"/>
        <family val="1"/>
        <charset val="2"/>
      </rPr>
      <t xml:space="preserve"> </t>
    </r>
    <r>
      <rPr>
        <sz val="11"/>
        <color theme="1"/>
        <rFont val="Calibri"/>
      </rPr>
      <t>Logements locatifs sociaux :</t>
    </r>
  </si>
  <si>
    <t>(1) Un maximum de 5% de T1 pourra être proposé par le porteur de projet avec l’accord de l’EPA.
(2) Pour les T5 et plus, les actes de ventes et projets immobiliers pourront prévoir des dispositions permettant la division en deux lots distincts, sans permis de construire modificatif, au terme d’une période de commercialisation demeurée infructueuse pendant un minimum de 1 an après obtention du permis de construire. Cette faculté ne pourra affecter plus de la moitié des T5 et plus projetés</t>
  </si>
  <si>
    <r>
      <rPr>
        <sz val="11"/>
        <color rgb="FF000000"/>
        <rFont val="Symbol"/>
        <family val="1"/>
        <charset val="2"/>
      </rPr>
      <t xml:space="preserve"> </t>
    </r>
    <r>
      <rPr>
        <sz val="11"/>
        <color rgb="FF000000"/>
        <rFont val="Calibri"/>
        <family val="1"/>
        <charset val="2"/>
      </rPr>
      <t>Parking mutualisé : conventions de longue durée, 30 ans, 2 options tarifaires (décaissement initial faible (18 300 € HT / pl) et frais de gestion annuels élevés) OU décaissement initial élevé (21 650€ HT / pl) et frais de gestion annuels faibles). Valeurs à octobre 2022.</t>
    </r>
  </si>
  <si>
    <r>
      <rPr>
        <sz val="11"/>
        <color rgb="FF000000"/>
        <rFont val="Symbol"/>
        <family val="1"/>
        <charset val="2"/>
      </rPr>
      <t xml:space="preserve"> </t>
    </r>
    <r>
      <rPr>
        <sz val="11"/>
        <color rgb="FF000000"/>
        <rFont val="Calibri"/>
      </rPr>
      <t xml:space="preserve">Parking mutualisé ou in situ : valorisation de place à 23 800 € TTC max. </t>
    </r>
  </si>
  <si>
    <r>
      <t xml:space="preserve">      - Une </t>
    </r>
    <r>
      <rPr>
        <b/>
        <sz val="8"/>
        <color theme="1"/>
        <rFont val="Calibri"/>
        <family val="2"/>
      </rPr>
      <t>base commune</t>
    </r>
    <r>
      <rPr>
        <sz val="8"/>
        <color theme="1"/>
        <rFont val="Calibri"/>
        <family val="2"/>
      </rPr>
      <t xml:space="preserve"> minimale : </t>
    </r>
    <r>
      <rPr>
        <b/>
        <sz val="8"/>
        <color theme="1"/>
        <rFont val="Calibri"/>
        <family val="2"/>
      </rPr>
      <t>tous les projets seront conçus en BIM</t>
    </r>
    <r>
      <rPr>
        <sz val="8"/>
        <color theme="1"/>
        <rFont val="Calibri"/>
        <family val="2"/>
      </rPr>
      <t xml:space="preserve"> dans une maquette en format ouvert géoréférencée. Cette maquette autour de laquelle seront organisées les </t>
    </r>
    <r>
      <rPr>
        <b/>
        <sz val="8"/>
        <color theme="1"/>
        <rFont val="Calibri"/>
        <family val="2"/>
      </rPr>
      <t>revues de projet avec l'EPA</t>
    </r>
    <r>
      <rPr>
        <sz val="8"/>
        <color theme="1"/>
        <rFont val="Calibri"/>
        <family val="2"/>
      </rPr>
      <t xml:space="preserve">, sera partagée sur une </t>
    </r>
    <r>
      <rPr>
        <b/>
        <sz val="8"/>
        <color theme="1"/>
        <rFont val="Calibri"/>
        <family val="2"/>
      </rPr>
      <t>plateforme collaborative</t>
    </r>
    <r>
      <rPr>
        <sz val="8"/>
        <color theme="1"/>
        <rFont val="Calibri"/>
        <family val="2"/>
      </rPr>
      <t xml:space="preserve"> qui permettra la </t>
    </r>
    <r>
      <rPr>
        <b/>
        <sz val="8"/>
        <color theme="1"/>
        <rFont val="Calibri"/>
        <family val="2"/>
      </rPr>
      <t>visualisation</t>
    </r>
    <r>
      <rPr>
        <sz val="8"/>
        <color theme="1"/>
        <rFont val="Calibri"/>
        <family val="2"/>
      </rPr>
      <t xml:space="preserve"> et le dépôt des </t>
    </r>
    <r>
      <rPr>
        <b/>
        <sz val="8"/>
        <color theme="1"/>
        <rFont val="Calibri"/>
        <family val="2"/>
      </rPr>
      <t>livrables des plans</t>
    </r>
    <r>
      <rPr>
        <sz val="8"/>
        <color theme="1"/>
        <rFont val="Calibri"/>
        <family val="2"/>
      </rPr>
      <t xml:space="preserve"> exigés contractuellement. Elle servira enfin à la </t>
    </r>
    <r>
      <rPr>
        <b/>
        <sz val="8"/>
        <color theme="1"/>
        <rFont val="Calibri"/>
        <family val="2"/>
      </rPr>
      <t>communication</t>
    </r>
    <r>
      <rPr>
        <sz val="8"/>
        <color theme="1"/>
        <rFont val="Calibri"/>
        <family val="2"/>
      </rPr>
      <t xml:space="preserve"> du projet auprès du grand public.</t>
    </r>
  </si>
  <si>
    <r>
      <t xml:space="preserve">      - Des </t>
    </r>
    <r>
      <rPr>
        <b/>
        <sz val="8"/>
        <color theme="1"/>
        <rFont val="Calibri"/>
        <family val="2"/>
      </rPr>
      <t>ambitions complémentaires à la carte</t>
    </r>
    <r>
      <rPr>
        <sz val="8"/>
        <color theme="1"/>
        <rFont val="Calibri"/>
        <family val="2"/>
      </rPr>
      <t xml:space="preserve"> seront discutées et établies en fonction de la stratégie des acteurs ou des spécificités du projet : suivi d'indicateurs, phasage chantier, carbone, quantitatifs/métrés, sécurité incendie, autorisations administratives, gestion interfaces, programmation...</t>
    </r>
  </si>
  <si>
    <t xml:space="preserve">Cette partie vise à détailler et classer, au sein des caractéristiques de l'opération, les pistes crédibles d'optimisation du bilan et de maîtrise des coûts permettant d'atteindre les ambitions fixées. </t>
  </si>
  <si>
    <t>(2) BRS : foncier acquis par un OFS contre une redevance mensuelle plafonnée à 1,5 € / m² SHAB</t>
  </si>
  <si>
    <t>(1) Correspondant au prix moyen sur Bordeaux Métropole constaté par l'OISO en année n-1 (Fin S1 2022 ici)</t>
  </si>
  <si>
    <t>Dispositifs d'accession encadrée à la propriété (liste limitative)</t>
  </si>
  <si>
    <t>Caractéristiques</t>
  </si>
  <si>
    <t>Scenarios de programmation</t>
  </si>
  <si>
    <t>Prix à déterminer en visant un plafond toute accession (65% libre / 35% encadrée)
inférieur à 4 268 €TTC / m² SHAB yc ext hors parking (1)</t>
  </si>
  <si>
    <t>Prix à déterminer en visant un plafond toute accession (60% libre / 40% encadrée)
inférieur à 4 268 €TTC / m² SHAB yc ext hors parking (1)</t>
  </si>
  <si>
    <r>
      <t xml:space="preserve">   - </t>
    </r>
    <r>
      <rPr>
        <b/>
        <sz val="9"/>
        <color rgb="FF000000"/>
        <rFont val="Calibri"/>
      </rPr>
      <t>BRS : 2670 € HT / m² SU</t>
    </r>
    <r>
      <rPr>
        <sz val="9"/>
        <color rgb="FF000000"/>
        <rFont val="Calibri"/>
      </rPr>
      <t xml:space="preserve"> (20% en-dessous du plafond réglementaire du PSLA de 3 338 € HT / m² SU pour 2023)
   - </t>
    </r>
    <r>
      <rPr>
        <b/>
        <sz val="9"/>
        <color rgb="FF000000"/>
        <rFont val="Calibri"/>
      </rPr>
      <t>TVA réduite et PSLA : 3 338 € HT / m² SU</t>
    </r>
    <r>
      <rPr>
        <sz val="9"/>
        <color rgb="FF000000"/>
        <rFont val="Calibri"/>
      </rPr>
      <t xml:space="preserve">
   - </t>
    </r>
    <r>
      <rPr>
        <b/>
        <sz val="9"/>
        <color rgb="FF000000"/>
        <rFont val="Calibri"/>
      </rPr>
      <t>Prix maîtrisé BxM : 3 000 € TTC / m² SHAB hors ext</t>
    </r>
    <r>
      <rPr>
        <sz val="9"/>
        <color rgb="FF000000"/>
        <rFont val="Calibri"/>
      </rPr>
      <t xml:space="preserve"> (ext valorisés à 50% de 6 à 9 m²)</t>
    </r>
  </si>
  <si>
    <t>(3)  - PSLA : cf. arrêté du 26 mars 2004 relatif aux conditions d’application des dispositions de la sous-section 2 bis relative aux prêts conventionnés pour des opérations de location-accession à la propriété immobilière modifié par arrêté du 30 septembre 2014. Actualisation annuelle.
       - Prix maîtrisé de Bordeaux Métropole : cf. délibération N° 2019-465 du 12 juillet 2019. Logements éligibles au prêt à taux zéro de Bordeaux Métropole sous conditions de ressource. Prix plafonné à 3 000 € TTC / m² SHAB hors parking hors extérieurs (ext valorisés à 50% de 6 à 9 m²)</t>
  </si>
  <si>
    <t>(4) Délibération Bordeaux Métropole n° 2022-721 du 24 novembre 2022. Bordeaux et intra-rocade rive gauche : 2250 sans parking ou avec parking aérien / 2300 avec parking en ouvrage. Floirac : 2200 sans parking ou avec parking aérien / 2250 avec parking en ouvrage</t>
  </si>
  <si>
    <t>2 250 ou 2 300 €HT / m² SHAB (4)</t>
  </si>
  <si>
    <t>2 200 ou 2 250 €HT / m² SHAB (4)</t>
  </si>
  <si>
    <r>
      <rPr>
        <b/>
        <sz val="14"/>
        <color theme="1"/>
        <rFont val="Calibri"/>
        <family val="2"/>
      </rPr>
      <t>50%</t>
    </r>
    <r>
      <rPr>
        <sz val="11"/>
        <color theme="1"/>
        <rFont val="Calibri"/>
      </rPr>
      <t xml:space="preserve">
dont 20% en libre à la découpe, 20% en résidence gérée et 10% en LLI (vente en bloc)</t>
    </r>
  </si>
  <si>
    <r>
      <t xml:space="preserve">35%
</t>
    </r>
    <r>
      <rPr>
        <sz val="11"/>
        <color theme="1"/>
        <rFont val="Calibri"/>
        <family val="2"/>
      </rPr>
      <t>(hors BRS et PSLA)</t>
    </r>
  </si>
  <si>
    <r>
      <rPr>
        <b/>
        <sz val="14"/>
        <rFont val="Calibri"/>
        <family val="2"/>
      </rPr>
      <t xml:space="preserve">40%
</t>
    </r>
    <r>
      <rPr>
        <sz val="11"/>
        <rFont val="Calibri"/>
        <family val="2"/>
      </rPr>
      <t>(hors BRS et PSLA)</t>
    </r>
  </si>
  <si>
    <t>/</t>
  </si>
  <si>
    <t>Charge foncière</t>
  </si>
  <si>
    <r>
      <t xml:space="preserve">Optimisation et modification de la </t>
    </r>
    <r>
      <rPr>
        <b/>
        <i/>
        <sz val="11"/>
        <color theme="1"/>
        <rFont val="Calibri"/>
        <family val="2"/>
      </rPr>
      <t>matérialité des façades</t>
    </r>
  </si>
  <si>
    <r>
      <t>Démolition</t>
    </r>
    <r>
      <rPr>
        <vertAlign val="superscript"/>
        <sz val="11"/>
        <color theme="1"/>
        <rFont val="Calibri"/>
      </rPr>
      <t xml:space="preserve"> (5)</t>
    </r>
  </si>
  <si>
    <r>
      <t>Coefficient biotope CBS+</t>
    </r>
    <r>
      <rPr>
        <b/>
        <i/>
        <vertAlign val="superscript"/>
        <sz val="11"/>
        <color rgb="FF000000"/>
        <rFont val="Calibri"/>
      </rPr>
      <t xml:space="preserve"> (3)</t>
    </r>
  </si>
  <si>
    <r>
      <t>Score bois de 50%</t>
    </r>
    <r>
      <rPr>
        <vertAlign val="superscript"/>
        <sz val="9"/>
        <color theme="1"/>
        <rFont val="Calibri"/>
      </rPr>
      <t xml:space="preserve"> (4)</t>
    </r>
  </si>
  <si>
    <r>
      <t xml:space="preserve">NF HQE 9* </t>
    </r>
    <r>
      <rPr>
        <vertAlign val="superscript"/>
        <sz val="11"/>
        <color theme="1"/>
        <rFont val="Calibri"/>
        <family val="2"/>
      </rPr>
      <t>(1)</t>
    </r>
    <r>
      <rPr>
        <sz val="11"/>
        <color theme="1"/>
        <rFont val="Calibri"/>
        <family val="2"/>
      </rPr>
      <t xml:space="preserve"> ou BDNA </t>
    </r>
    <r>
      <rPr>
        <vertAlign val="superscript"/>
        <sz val="11"/>
        <color theme="1"/>
        <rFont val="Calibri"/>
        <family val="2"/>
      </rPr>
      <t>(2)</t>
    </r>
    <r>
      <rPr>
        <sz val="11"/>
        <color theme="1"/>
        <rFont val="Calibri"/>
        <family val="2"/>
      </rPr>
      <t xml:space="preserve"> niveau</t>
    </r>
    <r>
      <rPr>
        <sz val="11"/>
        <color theme="1"/>
        <rFont val="Calibri"/>
      </rPr>
      <t xml:space="preserve"> Argent</t>
    </r>
  </si>
  <si>
    <r>
      <t xml:space="preserve">Bbio ≤ Bbio max </t>
    </r>
    <r>
      <rPr>
        <sz val="9"/>
        <color theme="1"/>
        <rFont val="Calibri"/>
      </rPr>
      <t>- 15%</t>
    </r>
  </si>
  <si>
    <t>Cep ≤ Cep max - 20%</t>
  </si>
  <si>
    <r>
      <rPr>
        <vertAlign val="superscript"/>
        <sz val="9"/>
        <color theme="1"/>
        <rFont val="Calibri"/>
        <family val="2"/>
      </rPr>
      <t>(1)</t>
    </r>
    <r>
      <rPr>
        <sz val="9"/>
        <color theme="1"/>
        <rFont val="Calibri"/>
      </rPr>
      <t xml:space="preserve"> cf. </t>
    </r>
    <r>
      <rPr>
        <u/>
        <sz val="9"/>
        <color theme="8" tint="-0.499984740745262"/>
        <rFont val="Calibri"/>
        <family val="2"/>
      </rPr>
      <t>qualitel.org/professionnels/documentation/referentiels-nf-habitat-hqe</t>
    </r>
    <r>
      <rPr>
        <sz val="9"/>
        <color theme="1"/>
        <rFont val="Calibri"/>
      </rPr>
      <t xml:space="preserve"> / </t>
    </r>
    <r>
      <rPr>
        <vertAlign val="superscript"/>
        <sz val="9"/>
        <color theme="1"/>
        <rFont val="Calibri"/>
        <family val="2"/>
      </rPr>
      <t>(2)</t>
    </r>
    <r>
      <rPr>
        <sz val="9"/>
        <color theme="1"/>
        <rFont val="Calibri"/>
      </rPr>
      <t xml:space="preserve"> cf. </t>
    </r>
    <r>
      <rPr>
        <u/>
        <sz val="9"/>
        <color theme="8" tint="-0.499984740745262"/>
        <rFont val="Calibri"/>
        <family val="2"/>
      </rPr>
      <t>demarchebdna.fr</t>
    </r>
    <r>
      <rPr>
        <sz val="9"/>
        <color theme="1"/>
        <rFont val="Calibri"/>
      </rPr>
      <t xml:space="preserve"> / </t>
    </r>
    <r>
      <rPr>
        <vertAlign val="superscript"/>
        <sz val="9"/>
        <color theme="1"/>
        <rFont val="Calibri"/>
        <family val="2"/>
      </rPr>
      <t>(3)</t>
    </r>
    <r>
      <rPr>
        <sz val="9"/>
        <color theme="1"/>
        <rFont val="Calibri"/>
      </rPr>
      <t xml:space="preserve"> cf. annexe CBS+ / </t>
    </r>
    <r>
      <rPr>
        <vertAlign val="superscript"/>
        <sz val="9"/>
        <color theme="1"/>
        <rFont val="Calibri"/>
        <family val="2"/>
      </rPr>
      <t>(4)</t>
    </r>
    <r>
      <rPr>
        <sz val="9"/>
        <color theme="1"/>
        <rFont val="Calibri"/>
      </rPr>
      <t xml:space="preserve"> cf. annexe score bois / </t>
    </r>
    <r>
      <rPr>
        <vertAlign val="superscript"/>
        <sz val="9"/>
        <color theme="1"/>
        <rFont val="Calibri"/>
        <family val="2"/>
      </rPr>
      <t>(5)</t>
    </r>
    <r>
      <rPr>
        <sz val="9"/>
        <color theme="1"/>
        <rFont val="Calibri"/>
      </rPr>
      <t xml:space="preserve"> si démolition existant</t>
    </r>
  </si>
  <si>
    <t>Exigences HQE ou BDNA traitant les bruits solidiens et aériens</t>
  </si>
  <si>
    <t>Exigences HQE ou BDNA traitant l'optimisation des apports en lumière naturelle</t>
  </si>
  <si>
    <t>Exigences HQE ou BDNA traitant le nombre d'heures d'inconfort en saison chaude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</si>
</sst>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6" formatCode="#,##0\ &quot;€&quot;;[Red]\-#,##0\ &quot;€&quot;"/>
    <numFmt numFmtId="164" formatCode="#\ ##0&quot; € TTC / m² SHAB&quot;"/>
    <numFmt numFmtId="165" formatCode="#,##0&quot; m²&quot;"/>
    <numFmt numFmtId="166" formatCode="#\ ##0&quot; € HT / m² SHAB&quot;"/>
    <numFmt numFmtId="167" formatCode="#,##0.00\ [$€-1]"/>
    <numFmt numFmtId="168" formatCode="0.0%"/>
    <numFmt numFmtId="169" formatCode="_-* #,##0\ &quot;€&quot;_-;\-* #,##0\ &quot;€&quot;_-;_-* &quot;-&quot;??\ &quot;€&quot;_-;_-@"/>
    <numFmt numFmtId="170" formatCode="#\ ##0&quot; € HT / m² SDP&quot;"/>
    <numFmt numFmtId="171" formatCode="#\ ##0"/>
    <numFmt numFmtId="172" formatCode="#\ ##0&quot; € HT / pl&quot;"/>
    <numFmt numFmtId="173" formatCode="#\ ##0&quot; pl&quot;"/>
    <numFmt numFmtId="174" formatCode="_-* #,##0.00\ &quot;€&quot;_-;\-* #,##0.00\ &quot;€&quot;_-;_-* &quot;-&quot;??\ &quot;€&quot;_-;_-@"/>
    <numFmt numFmtId="175" formatCode="#\ ##0&quot; € HT / m² SU&quot;"/>
    <numFmt numFmtId="176" formatCode="#\ ##0&quot; € TTC / pl&quot;"/>
    <numFmt numFmtId="177" formatCode="0.0%&quot; du CA&quot;"/>
  </numFmts>
  <fonts count="66">
    <font>
      <sz val="11"/>
      <color theme="1"/>
      <name val="Calibri"/>
      <scheme val="minor"/>
    </font>
    <font>
      <sz val="11"/>
      <color theme="1"/>
      <name val="Calibri"/>
      <family val="2"/>
      <scheme val="minor"/>
    </font>
    <font>
      <b/>
      <sz val="11"/>
      <color theme="1"/>
      <name val="Calibri"/>
    </font>
    <font>
      <sz val="11"/>
      <name val="Calibri"/>
    </font>
    <font>
      <sz val="11"/>
      <color theme="1"/>
      <name val="Calibri"/>
    </font>
    <font>
      <b/>
      <sz val="14"/>
      <color theme="1"/>
      <name val="Calibri"/>
    </font>
    <font>
      <i/>
      <sz val="11"/>
      <color theme="1"/>
      <name val="Calibri"/>
    </font>
    <font>
      <b/>
      <i/>
      <sz val="11"/>
      <color theme="1"/>
      <name val="Calibri"/>
    </font>
    <font>
      <sz val="9"/>
      <color theme="1"/>
      <name val="Calibri"/>
    </font>
    <font>
      <i/>
      <sz val="9"/>
      <color theme="1"/>
      <name val="Calibri"/>
    </font>
    <font>
      <i/>
      <sz val="9"/>
      <color rgb="FF000000"/>
      <name val="Calibri"/>
    </font>
    <font>
      <b/>
      <sz val="12"/>
      <color theme="1"/>
      <name val="Calibri"/>
    </font>
    <font>
      <sz val="11"/>
      <color rgb="FF000000"/>
      <name val="Calibri"/>
    </font>
    <font>
      <b/>
      <sz val="20"/>
      <color rgb="FFFFFFFF"/>
      <name val="Calibri"/>
    </font>
    <font>
      <b/>
      <sz val="14"/>
      <color rgb="FFFFFFFF"/>
      <name val="Calibri"/>
      <scheme val="minor"/>
    </font>
    <font>
      <sz val="11"/>
      <color rgb="FFFFFFFF"/>
      <name val="Calibri"/>
    </font>
    <font>
      <b/>
      <sz val="16"/>
      <color theme="0"/>
      <name val="Calibri"/>
    </font>
    <font>
      <b/>
      <sz val="16"/>
      <color theme="1"/>
      <name val="Calibri"/>
    </font>
    <font>
      <sz val="9"/>
      <color rgb="FF000000"/>
      <name val="Calibri"/>
    </font>
    <font>
      <b/>
      <i/>
      <sz val="11"/>
      <color rgb="FF000000"/>
      <name val="Calibri"/>
    </font>
    <font>
      <b/>
      <sz val="18"/>
      <color theme="1"/>
      <name val="Calibri"/>
    </font>
    <font>
      <b/>
      <sz val="9"/>
      <color theme="1"/>
      <name val="Calibri"/>
    </font>
    <font>
      <b/>
      <i/>
      <sz val="9"/>
      <color theme="1"/>
      <name val="Calibri"/>
    </font>
    <font>
      <b/>
      <sz val="11"/>
      <color rgb="FFFFFFFF"/>
      <name val="Calibri"/>
    </font>
    <font>
      <i/>
      <sz val="9"/>
      <color rgb="FFFFFFFF"/>
      <name val="Calibri"/>
    </font>
    <font>
      <b/>
      <sz val="11"/>
      <color rgb="FF000000"/>
      <name val="Calibri"/>
    </font>
    <font>
      <i/>
      <vertAlign val="superscript"/>
      <sz val="11"/>
      <color theme="1"/>
      <name val="Calibri"/>
    </font>
    <font>
      <sz val="11"/>
      <color theme="1"/>
      <name val="Symbol"/>
    </font>
    <font>
      <vertAlign val="superscript"/>
      <sz val="11"/>
      <color theme="1"/>
      <name val="Calibri"/>
    </font>
    <font>
      <b/>
      <sz val="9"/>
      <color rgb="FF000000"/>
      <name val="Calibri"/>
    </font>
    <font>
      <b/>
      <i/>
      <vertAlign val="superscript"/>
      <sz val="11"/>
      <color rgb="FF000000"/>
      <name val="Calibri"/>
    </font>
    <font>
      <vertAlign val="superscript"/>
      <sz val="9"/>
      <color theme="1"/>
      <name val="Calibri"/>
    </font>
    <font>
      <i/>
      <sz val="11"/>
      <color theme="1"/>
      <name val="Calibri"/>
      <family val="2"/>
    </font>
    <font>
      <b/>
      <sz val="11"/>
      <color theme="1"/>
      <name val="Calibri"/>
      <family val="2"/>
    </font>
    <font>
      <sz val="11"/>
      <color theme="1"/>
      <name val="Calibri"/>
      <family val="2"/>
    </font>
    <font>
      <b/>
      <sz val="20"/>
      <color rgb="FFFFFFFF"/>
      <name val="Calibri"/>
      <family val="2"/>
    </font>
    <font>
      <sz val="11"/>
      <color rgb="FF000000"/>
      <name val="Calibri"/>
      <family val="2"/>
    </font>
    <font>
      <b/>
      <sz val="11"/>
      <color rgb="FF000000"/>
      <name val="Calibri"/>
      <family val="2"/>
    </font>
    <font>
      <sz val="11"/>
      <name val="Calibri"/>
      <family val="2"/>
    </font>
    <font>
      <b/>
      <sz val="14"/>
      <color rgb="FFFFFFFF"/>
      <name val="Calibri"/>
      <family val="2"/>
      <scheme val="minor"/>
    </font>
    <font>
      <b/>
      <sz val="16"/>
      <color theme="1"/>
      <name val="Calibri"/>
      <family val="2"/>
    </font>
    <font>
      <b/>
      <sz val="20"/>
      <color theme="2"/>
      <name val="Calibri"/>
      <family val="2"/>
    </font>
    <font>
      <sz val="11"/>
      <color rgb="FF000000"/>
      <name val="Symbol"/>
      <family val="1"/>
      <charset val="2"/>
    </font>
    <font>
      <sz val="11"/>
      <color rgb="FF000000"/>
      <name val="Calibri"/>
      <family val="1"/>
      <charset val="2"/>
    </font>
    <font>
      <sz val="11"/>
      <color theme="1"/>
      <name val="Symbol"/>
      <family val="1"/>
      <charset val="2"/>
    </font>
    <font>
      <sz val="11"/>
      <color theme="1"/>
      <name val="Calibri"/>
      <family val="1"/>
      <charset val="2"/>
    </font>
    <font>
      <b/>
      <i/>
      <sz val="11"/>
      <name val="Calibri"/>
      <family val="2"/>
    </font>
    <font>
      <i/>
      <sz val="11"/>
      <name val="Calibri"/>
      <family val="2"/>
    </font>
    <font>
      <i/>
      <sz val="11"/>
      <name val="Calibri"/>
      <family val="2"/>
      <scheme val="minor"/>
    </font>
    <font>
      <sz val="8"/>
      <color theme="1"/>
      <name val="Calibri"/>
      <family val="2"/>
    </font>
    <font>
      <b/>
      <sz val="11"/>
      <name val="Calibri"/>
      <family val="2"/>
    </font>
    <font>
      <sz val="11"/>
      <name val="Calibri"/>
      <family val="2"/>
      <scheme val="minor"/>
    </font>
    <font>
      <i/>
      <sz val="9"/>
      <color theme="1"/>
      <name val="Calibri"/>
      <family val="2"/>
    </font>
    <font>
      <i/>
      <sz val="9"/>
      <color theme="1"/>
      <name val="Calibri"/>
      <family val="2"/>
      <scheme val="minor"/>
    </font>
    <font>
      <b/>
      <sz val="8"/>
      <color theme="1"/>
      <name val="Calibri"/>
      <family val="2"/>
    </font>
    <font>
      <b/>
      <sz val="14"/>
      <color theme="1"/>
      <name val="Calibri"/>
      <family val="2"/>
    </font>
    <font>
      <sz val="9"/>
      <name val="Calibri"/>
      <family val="2"/>
    </font>
    <font>
      <sz val="9"/>
      <color rgb="FF000000"/>
      <name val="Calibri"/>
      <family val="2"/>
    </font>
    <font>
      <i/>
      <sz val="9"/>
      <name val="Calibri"/>
      <family val="2"/>
    </font>
    <font>
      <b/>
      <sz val="14"/>
      <name val="Calibri"/>
      <family val="2"/>
    </font>
    <font>
      <b/>
      <i/>
      <sz val="11"/>
      <color theme="1"/>
      <name val="Calibri"/>
      <family val="2"/>
    </font>
    <font>
      <b/>
      <i/>
      <sz val="11"/>
      <color rgb="FF000000"/>
      <name val="Calibri"/>
      <family val="2"/>
    </font>
    <font>
      <sz val="9"/>
      <color theme="1"/>
      <name val="Calibri"/>
      <family val="2"/>
    </font>
    <font>
      <vertAlign val="superscript"/>
      <sz val="9"/>
      <color theme="1"/>
      <name val="Calibri"/>
      <family val="2"/>
    </font>
    <font>
      <vertAlign val="superscript"/>
      <sz val="11"/>
      <color theme="1"/>
      <name val="Calibri"/>
      <family val="2"/>
    </font>
    <font>
      <u/>
      <sz val="9"/>
      <color theme="8" tint="-0.499984740745262"/>
      <name val="Calibri"/>
      <family val="2"/>
    </font>
  </fonts>
  <fills count="26">
    <fill>
      <patternFill patternType="none"/>
    </fill>
    <fill>
      <patternFill patternType="gray125"/>
    </fill>
    <fill>
      <patternFill patternType="solid">
        <fgColor rgb="FFD3E5DE"/>
        <bgColor rgb="FFD3E5DE"/>
      </patternFill>
    </fill>
    <fill>
      <patternFill patternType="solid">
        <fgColor theme="0"/>
        <bgColor theme="0"/>
      </patternFill>
    </fill>
    <fill>
      <patternFill patternType="solid">
        <fgColor rgb="FFFFFFFF"/>
        <bgColor rgb="FFFFFFFF"/>
      </patternFill>
    </fill>
    <fill>
      <patternFill patternType="solid">
        <fgColor theme="4"/>
        <bgColor theme="4"/>
      </patternFill>
    </fill>
    <fill>
      <patternFill patternType="solid">
        <fgColor rgb="FFD5A6BD"/>
        <bgColor rgb="FFD5A6BD"/>
      </patternFill>
    </fill>
    <fill>
      <patternFill patternType="solid">
        <fgColor rgb="FFE4ACFA"/>
        <bgColor rgb="FFE4ACFA"/>
      </patternFill>
    </fill>
    <fill>
      <patternFill patternType="solid">
        <fgColor rgb="FF99C3B2"/>
        <bgColor rgb="FF99C3B2"/>
      </patternFill>
    </fill>
    <fill>
      <patternFill patternType="solid">
        <fgColor rgb="FFEBDDCA"/>
        <bgColor rgb="FFEBDDCA"/>
      </patternFill>
    </fill>
    <fill>
      <patternFill patternType="solid">
        <fgColor rgb="FFD9E2F3"/>
        <bgColor rgb="FFD9E2F3"/>
      </patternFill>
    </fill>
    <fill>
      <patternFill patternType="solid">
        <fgColor rgb="FF6D9EEB"/>
        <bgColor rgb="FF6D9EEB"/>
      </patternFill>
    </fill>
    <fill>
      <patternFill patternType="solid">
        <fgColor rgb="FF1C4587"/>
        <bgColor rgb="FF1C4587"/>
      </patternFill>
    </fill>
    <fill>
      <patternFill patternType="solid">
        <fgColor theme="0"/>
        <bgColor indexed="64"/>
      </patternFill>
    </fill>
    <fill>
      <patternFill patternType="solid">
        <fgColor theme="0"/>
        <bgColor rgb="FFFFFFFF"/>
      </patternFill>
    </fill>
    <fill>
      <patternFill patternType="solid">
        <fgColor theme="9"/>
        <bgColor theme="4"/>
      </patternFill>
    </fill>
    <fill>
      <patternFill patternType="solid">
        <fgColor theme="4"/>
        <bgColor indexed="64"/>
      </patternFill>
    </fill>
    <fill>
      <patternFill patternType="solid">
        <fgColor theme="4"/>
        <bgColor theme="0"/>
      </patternFill>
    </fill>
    <fill>
      <patternFill patternType="solid">
        <fgColor theme="4" tint="0.79998168889431442"/>
        <bgColor rgb="FFD9E2F3"/>
      </patternFill>
    </fill>
    <fill>
      <patternFill patternType="solid">
        <fgColor theme="4" tint="0.79998168889431442"/>
        <bgColor rgb="FFCFE2F3"/>
      </patternFill>
    </fill>
    <fill>
      <patternFill patternType="solid">
        <fgColor theme="4" tint="0.79998168889431442"/>
        <bgColor indexed="64"/>
      </patternFill>
    </fill>
    <fill>
      <patternFill patternType="solid">
        <fgColor theme="4" tint="0.79998168889431442"/>
        <bgColor theme="0"/>
      </patternFill>
    </fill>
    <fill>
      <patternFill patternType="solid">
        <fgColor rgb="FFD3E5DE"/>
        <bgColor theme="0"/>
      </patternFill>
    </fill>
    <fill>
      <patternFill patternType="solid">
        <fgColor theme="0"/>
        <bgColor rgb="FFD3E5DE"/>
      </patternFill>
    </fill>
    <fill>
      <patternFill patternType="solid">
        <fgColor theme="0"/>
        <bgColor rgb="FFD9D9D9"/>
      </patternFill>
    </fill>
    <fill>
      <patternFill patternType="solid">
        <fgColor rgb="FFD3E5DE"/>
        <bgColor rgb="FFFFFFFF"/>
      </patternFill>
    </fill>
  </fills>
  <borders count="88">
    <border>
      <left/>
      <right/>
      <top/>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style="hair">
        <color rgb="FF000000"/>
      </bottom>
      <diagonal/>
    </border>
    <border>
      <left/>
      <right/>
      <top style="hair">
        <color rgb="FF000000"/>
      </top>
      <bottom style="hair">
        <color rgb="FF000000"/>
      </bottom>
      <diagonal/>
    </border>
    <border>
      <left/>
      <right/>
      <top style="hair">
        <color rgb="FF000000"/>
      </top>
      <bottom style="hair">
        <color rgb="FF000000"/>
      </bottom>
      <diagonal/>
    </border>
    <border>
      <left style="medium">
        <color rgb="FF4472C4"/>
      </left>
      <right style="medium">
        <color rgb="FF4472C4"/>
      </right>
      <top style="medium">
        <color rgb="FF4472C4"/>
      </top>
      <bottom style="medium">
        <color rgb="FF4472C4"/>
      </bottom>
      <diagonal/>
    </border>
    <border>
      <left style="medium">
        <color rgb="FFFFFFFF"/>
      </left>
      <right/>
      <top style="medium">
        <color rgb="FFFFFFFF"/>
      </top>
      <bottom style="medium">
        <color rgb="FFFFFFFF"/>
      </bottom>
      <diagonal/>
    </border>
    <border>
      <left/>
      <right/>
      <top style="medium">
        <color rgb="FFFFFFFF"/>
      </top>
      <bottom style="medium">
        <color rgb="FFFFFFFF"/>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style="thin">
        <color rgb="FF000000"/>
      </top>
      <bottom style="hair">
        <color rgb="FF000000"/>
      </bottom>
      <diagonal/>
    </border>
    <border>
      <left/>
      <right style="thin">
        <color rgb="FF000000"/>
      </right>
      <top style="thin">
        <color rgb="FF000000"/>
      </top>
      <bottom style="hair">
        <color rgb="FF000000"/>
      </bottom>
      <diagonal/>
    </border>
    <border>
      <left/>
      <right style="thin">
        <color rgb="FF000000"/>
      </right>
      <top/>
      <bottom/>
      <diagonal/>
    </border>
    <border>
      <left style="thin">
        <color rgb="FF000000"/>
      </left>
      <right/>
      <top style="hair">
        <color rgb="FF000000"/>
      </top>
      <bottom style="hair">
        <color rgb="FF000000"/>
      </bottom>
      <diagonal/>
    </border>
    <border>
      <left/>
      <right style="thin">
        <color rgb="FF000000"/>
      </right>
      <top style="hair">
        <color rgb="FF000000"/>
      </top>
      <bottom style="hair">
        <color rgb="FF000000"/>
      </bottom>
      <diagonal/>
    </border>
    <border>
      <left style="thin">
        <color rgb="FF000000"/>
      </left>
      <right/>
      <top style="hair">
        <color rgb="FF000000"/>
      </top>
      <bottom style="thin">
        <color rgb="FF000000"/>
      </bottom>
      <diagonal/>
    </border>
    <border>
      <left/>
      <right style="thin">
        <color rgb="FF000000"/>
      </right>
      <top style="hair">
        <color rgb="FF000000"/>
      </top>
      <bottom style="thin">
        <color rgb="FF000000"/>
      </bottom>
      <diagonal/>
    </border>
    <border>
      <left/>
      <right style="thin">
        <color rgb="FF000000"/>
      </right>
      <top/>
      <bottom style="thin">
        <color rgb="FF000000"/>
      </bottom>
      <diagonal/>
    </border>
    <border>
      <left style="thin">
        <color rgb="FF000000"/>
      </left>
      <right/>
      <top style="thin">
        <color rgb="FF000000"/>
      </top>
      <bottom style="dotted">
        <color rgb="FF000000"/>
      </bottom>
      <diagonal/>
    </border>
    <border>
      <left/>
      <right style="thin">
        <color rgb="FF000000"/>
      </right>
      <top style="thin">
        <color rgb="FF000000"/>
      </top>
      <bottom style="dotted">
        <color rgb="FF000000"/>
      </bottom>
      <diagonal/>
    </border>
    <border>
      <left style="thin">
        <color rgb="FF000000"/>
      </left>
      <right style="thin">
        <color rgb="FF000000"/>
      </right>
      <top style="dotted">
        <color rgb="FF000000"/>
      </top>
      <bottom/>
      <diagonal/>
    </border>
    <border>
      <left style="thin">
        <color rgb="FF000000"/>
      </left>
      <right/>
      <top style="dotted">
        <color rgb="FF000000"/>
      </top>
      <bottom/>
      <diagonal/>
    </border>
    <border>
      <left/>
      <right style="thin">
        <color rgb="FF000000"/>
      </right>
      <top style="dotted">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style="dotted">
        <color rgb="FF000000"/>
      </bottom>
      <diagonal/>
    </border>
    <border>
      <left style="thin">
        <color rgb="FF000000"/>
      </left>
      <right/>
      <top/>
      <bottom style="dotted">
        <color rgb="FF000000"/>
      </bottom>
      <diagonal/>
    </border>
    <border>
      <left/>
      <right style="thin">
        <color rgb="FF000000"/>
      </right>
      <top/>
      <bottom style="dotted">
        <color rgb="FF000000"/>
      </bottom>
      <diagonal/>
    </border>
    <border>
      <left style="thin">
        <color rgb="FF000000"/>
      </left>
      <right style="thin">
        <color rgb="FF000000"/>
      </right>
      <top style="dotted">
        <color rgb="FF000000"/>
      </top>
      <bottom style="dotted">
        <color rgb="FF000000"/>
      </bottom>
      <diagonal/>
    </border>
    <border>
      <left style="thin">
        <color rgb="FF000000"/>
      </left>
      <right/>
      <top style="dotted">
        <color rgb="FF000000"/>
      </top>
      <bottom style="dotted">
        <color rgb="FF000000"/>
      </bottom>
      <diagonal/>
    </border>
    <border>
      <left/>
      <right style="thin">
        <color rgb="FF000000"/>
      </right>
      <top style="dotted">
        <color rgb="FF000000"/>
      </top>
      <bottom style="dotted">
        <color rgb="FF000000"/>
      </bottom>
      <diagonal/>
    </border>
    <border>
      <left style="thin">
        <color rgb="FF000000"/>
      </left>
      <right style="thin">
        <color rgb="FF000000"/>
      </right>
      <top style="dotted">
        <color rgb="FF000000"/>
      </top>
      <bottom/>
      <diagonal/>
    </border>
    <border>
      <left style="thin">
        <color rgb="FF000000"/>
      </left>
      <right style="thin">
        <color rgb="FF000000"/>
      </right>
      <top/>
      <bottom/>
      <diagonal/>
    </border>
    <border>
      <left style="thin">
        <color rgb="FF000000"/>
      </left>
      <right/>
      <top style="dotted">
        <color rgb="FF000000"/>
      </top>
      <bottom/>
      <diagonal/>
    </border>
    <border>
      <left/>
      <right style="thin">
        <color rgb="FF000000"/>
      </right>
      <top style="dotted">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style="hair">
        <color rgb="FF000000"/>
      </bottom>
      <diagonal/>
    </border>
    <border>
      <left/>
      <right/>
      <top/>
      <bottom style="hair">
        <color rgb="FF000000"/>
      </bottom>
      <diagonal/>
    </border>
    <border>
      <left/>
      <right/>
      <top/>
      <bottom style="hair">
        <color rgb="FF000000"/>
      </bottom>
      <diagonal/>
    </border>
    <border>
      <left/>
      <right/>
      <top/>
      <bottom style="thin">
        <color rgb="FF000000"/>
      </bottom>
      <diagonal/>
    </border>
    <border>
      <left/>
      <right/>
      <top style="hair">
        <color rgb="FF000000"/>
      </top>
      <bottom style="thin">
        <color rgb="FF000000"/>
      </bottom>
      <diagonal/>
    </border>
    <border>
      <left/>
      <right/>
      <top style="thin">
        <color rgb="FF000000"/>
      </top>
      <bottom style="thin">
        <color rgb="FF000000"/>
      </bottom>
      <diagonal/>
    </border>
    <border>
      <left/>
      <right style="thin">
        <color rgb="FF000000"/>
      </right>
      <top/>
      <bottom style="hair">
        <color rgb="FF000000"/>
      </bottom>
      <diagonal/>
    </border>
    <border>
      <left/>
      <right/>
      <top/>
      <bottom style="dotted">
        <color rgb="FF000000"/>
      </bottom>
      <diagonal/>
    </border>
    <border>
      <left/>
      <right/>
      <top/>
      <bottom style="dotted">
        <color rgb="FF000000"/>
      </bottom>
      <diagonal/>
    </border>
    <border>
      <left/>
      <right/>
      <top style="dotted">
        <color rgb="FF000000"/>
      </top>
      <bottom style="dotted">
        <color rgb="FF000000"/>
      </bottom>
      <diagonal/>
    </border>
    <border>
      <left/>
      <right/>
      <top style="dotted">
        <color rgb="FF000000"/>
      </top>
      <bottom style="dotted">
        <color rgb="FF000000"/>
      </bottom>
      <diagonal/>
    </border>
    <border>
      <left/>
      <right/>
      <top style="dotted">
        <color rgb="FF000000"/>
      </top>
      <bottom/>
      <diagonal/>
    </border>
    <border>
      <left/>
      <right/>
      <top style="dotted">
        <color rgb="FF000000"/>
      </top>
      <bottom/>
      <diagonal/>
    </border>
    <border>
      <left/>
      <right/>
      <top/>
      <bottom style="hair">
        <color rgb="FF000000"/>
      </bottom>
      <diagonal/>
    </border>
    <border>
      <left/>
      <right style="thin">
        <color rgb="FF000000"/>
      </right>
      <top/>
      <bottom style="hair">
        <color rgb="FF000000"/>
      </bottom>
      <diagonal/>
    </border>
    <border>
      <left style="thin">
        <color rgb="FF000000"/>
      </left>
      <right/>
      <top/>
      <bottom style="dotted">
        <color rgb="FF000000"/>
      </bottom>
      <diagonal/>
    </border>
    <border>
      <left/>
      <right/>
      <top/>
      <bottom style="dotted">
        <color rgb="FF000000"/>
      </bottom>
      <diagonal/>
    </border>
    <border>
      <left/>
      <right/>
      <top/>
      <bottom style="dotted">
        <color rgb="FF000000"/>
      </bottom>
      <diagonal/>
    </border>
    <border>
      <left/>
      <right/>
      <top/>
      <bottom/>
      <diagonal/>
    </border>
    <border>
      <left/>
      <right/>
      <top style="hair">
        <color rgb="FF000000"/>
      </top>
      <bottom/>
      <diagonal/>
    </border>
    <border>
      <left style="thin">
        <color rgb="FFFFFFFF"/>
      </left>
      <right style="thin">
        <color rgb="FFFFFFFF"/>
      </right>
      <top style="thin">
        <color rgb="FFFFFFFF"/>
      </top>
      <bottom style="thin">
        <color rgb="FFFFFFFF"/>
      </bottom>
      <diagonal/>
    </border>
    <border>
      <left/>
      <right/>
      <top style="hair">
        <color rgb="FF000000"/>
      </top>
      <bottom/>
      <diagonal/>
    </border>
    <border>
      <left/>
      <right/>
      <top style="hair">
        <color rgb="FF000000"/>
      </top>
      <bottom style="hair">
        <color rgb="FF000000"/>
      </bottom>
      <diagonal/>
    </border>
    <border>
      <left/>
      <right/>
      <top style="hair">
        <color rgb="FF000000"/>
      </top>
      <bottom style="hair">
        <color rgb="FF000000"/>
      </bottom>
      <diagonal/>
    </border>
    <border>
      <left/>
      <right/>
      <top/>
      <bottom style="thin">
        <color rgb="FFFFFFFF"/>
      </bottom>
      <diagonal/>
    </border>
    <border>
      <left style="medium">
        <color theme="9"/>
      </left>
      <right style="medium">
        <color theme="9"/>
      </right>
      <top style="medium">
        <color theme="9"/>
      </top>
      <bottom style="medium">
        <color theme="9"/>
      </bottom>
      <diagonal/>
    </border>
    <border>
      <left/>
      <right/>
      <top/>
      <bottom style="hair">
        <color auto="1"/>
      </bottom>
      <diagonal/>
    </border>
    <border>
      <left/>
      <right/>
      <top style="hair">
        <color auto="1"/>
      </top>
      <bottom style="hair">
        <color auto="1"/>
      </bottom>
      <diagonal/>
    </border>
    <border>
      <left/>
      <right/>
      <top style="hair">
        <color auto="1"/>
      </top>
      <bottom/>
      <diagonal/>
    </border>
    <border>
      <left style="thin">
        <color rgb="FF000000"/>
      </left>
      <right/>
      <top/>
      <bottom style="hair">
        <color rgb="FF000000"/>
      </bottom>
      <diagonal/>
    </border>
    <border>
      <left style="thin">
        <color rgb="FF000000"/>
      </left>
      <right/>
      <top style="hair">
        <color rgb="FF000000"/>
      </top>
      <bottom/>
      <diagonal/>
    </border>
    <border>
      <left/>
      <right style="thin">
        <color rgb="FF000000"/>
      </right>
      <top style="hair">
        <color rgb="FF000000"/>
      </top>
      <bottom/>
      <diagonal/>
    </border>
    <border>
      <left style="hair">
        <color auto="1"/>
      </left>
      <right style="hair">
        <color auto="1"/>
      </right>
      <top/>
      <bottom style="hair">
        <color auto="1"/>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s>
  <cellStyleXfs count="1">
    <xf numFmtId="0" fontId="0" fillId="0" borderId="0"/>
  </cellStyleXfs>
  <cellXfs count="410">
    <xf numFmtId="0" fontId="0" fillId="0" borderId="0" xfId="0"/>
    <xf numFmtId="0" fontId="7" fillId="0" borderId="0" xfId="0" applyFont="1"/>
    <xf numFmtId="0" fontId="8" fillId="0" borderId="0" xfId="0" applyFont="1"/>
    <xf numFmtId="0" fontId="2" fillId="3" borderId="7" xfId="0" applyFont="1" applyFill="1" applyBorder="1"/>
    <xf numFmtId="0" fontId="4" fillId="3" borderId="7" xfId="0" applyFont="1" applyFill="1" applyBorder="1" applyAlignment="1">
      <alignment horizontal="left"/>
    </xf>
    <xf numFmtId="0" fontId="4" fillId="3" borderId="7" xfId="0" applyFont="1" applyFill="1" applyBorder="1"/>
    <xf numFmtId="0" fontId="4" fillId="3" borderId="7" xfId="0" applyFont="1" applyFill="1" applyBorder="1" applyAlignment="1">
      <alignment horizontal="left" vertical="center" wrapText="1"/>
    </xf>
    <xf numFmtId="0" fontId="9" fillId="0" borderId="0" xfId="0" applyFont="1"/>
    <xf numFmtId="0" fontId="4" fillId="0" borderId="0" xfId="0" applyFont="1" applyAlignment="1">
      <alignment vertical="top" wrapText="1"/>
    </xf>
    <xf numFmtId="0" fontId="2" fillId="0" borderId="0" xfId="0" applyFont="1"/>
    <xf numFmtId="0" fontId="13" fillId="5" borderId="13" xfId="0" applyFont="1" applyFill="1" applyBorder="1" applyAlignment="1">
      <alignment horizontal="center" vertical="center" wrapText="1"/>
    </xf>
    <xf numFmtId="0" fontId="14" fillId="5" borderId="13" xfId="0" applyFont="1" applyFill="1" applyBorder="1" applyAlignment="1">
      <alignment vertical="center"/>
    </xf>
    <xf numFmtId="164" fontId="2" fillId="6" borderId="0" xfId="0" applyNumberFormat="1" applyFont="1" applyFill="1" applyAlignment="1">
      <alignment horizontal="left" vertical="center" wrapText="1"/>
    </xf>
    <xf numFmtId="0" fontId="8" fillId="3" borderId="3" xfId="0" applyFont="1" applyFill="1" applyBorder="1" applyAlignment="1">
      <alignment vertical="top" wrapText="1"/>
    </xf>
    <xf numFmtId="0" fontId="4" fillId="0" borderId="0" xfId="0" applyFont="1"/>
    <xf numFmtId="0" fontId="15" fillId="5" borderId="13" xfId="0" applyFont="1" applyFill="1" applyBorder="1" applyAlignment="1">
      <alignment horizontal="right" vertical="center" wrapText="1"/>
    </xf>
    <xf numFmtId="9" fontId="15" fillId="5" borderId="13" xfId="0" applyNumberFormat="1" applyFont="1" applyFill="1" applyBorder="1" applyAlignment="1">
      <alignment horizontal="left" vertical="center" wrapText="1"/>
    </xf>
    <xf numFmtId="0" fontId="4" fillId="3" borderId="7" xfId="0" applyFont="1" applyFill="1" applyBorder="1" applyAlignment="1">
      <alignment vertical="top" wrapText="1"/>
    </xf>
    <xf numFmtId="0" fontId="15" fillId="5" borderId="13" xfId="0" applyFont="1" applyFill="1" applyBorder="1" applyAlignment="1">
      <alignment horizontal="right"/>
    </xf>
    <xf numFmtId="9" fontId="15" fillId="5" borderId="13" xfId="0" applyNumberFormat="1" applyFont="1" applyFill="1" applyBorder="1" applyAlignment="1">
      <alignment horizontal="left"/>
    </xf>
    <xf numFmtId="0" fontId="4" fillId="3" borderId="21" xfId="0" applyFont="1" applyFill="1" applyBorder="1"/>
    <xf numFmtId="0" fontId="2" fillId="3" borderId="7" xfId="0" applyFont="1" applyFill="1" applyBorder="1" applyAlignment="1">
      <alignment horizontal="right" vertical="center"/>
    </xf>
    <xf numFmtId="165" fontId="4" fillId="3" borderId="7" xfId="0" applyNumberFormat="1" applyFont="1" applyFill="1" applyBorder="1" applyAlignment="1">
      <alignment horizontal="left"/>
    </xf>
    <xf numFmtId="0" fontId="2" fillId="3" borderId="7" xfId="0" applyFont="1" applyFill="1" applyBorder="1" applyAlignment="1">
      <alignment vertical="center" wrapText="1"/>
    </xf>
    <xf numFmtId="0" fontId="7" fillId="4" borderId="7" xfId="0" applyFont="1" applyFill="1" applyBorder="1" applyAlignment="1">
      <alignment vertical="center"/>
    </xf>
    <xf numFmtId="0" fontId="7" fillId="3" borderId="7" xfId="0" applyFont="1" applyFill="1" applyBorder="1" applyAlignment="1">
      <alignment vertical="top"/>
    </xf>
    <xf numFmtId="6" fontId="7" fillId="0" borderId="0" xfId="0" applyNumberFormat="1" applyFont="1" applyAlignment="1">
      <alignment horizontal="left" vertical="top"/>
    </xf>
    <xf numFmtId="0" fontId="2" fillId="0" borderId="0" xfId="0" applyFont="1" applyAlignment="1">
      <alignment vertical="top" wrapText="1"/>
    </xf>
    <xf numFmtId="9" fontId="2" fillId="0" borderId="0" xfId="0" applyNumberFormat="1" applyFont="1" applyAlignment="1">
      <alignment horizontal="left" vertical="top" wrapText="1"/>
    </xf>
    <xf numFmtId="0" fontId="2" fillId="4" borderId="7" xfId="0" applyFont="1" applyFill="1" applyBorder="1" applyAlignment="1">
      <alignment vertical="center"/>
    </xf>
    <xf numFmtId="0" fontId="7" fillId="4" borderId="26" xfId="0" applyFont="1" applyFill="1" applyBorder="1" applyAlignment="1">
      <alignment horizontal="right" vertical="center" wrapText="1"/>
    </xf>
    <xf numFmtId="6" fontId="6" fillId="0" borderId="0" xfId="0" applyNumberFormat="1" applyFont="1" applyAlignment="1">
      <alignment horizontal="left" vertical="top"/>
    </xf>
    <xf numFmtId="0" fontId="7" fillId="4" borderId="29" xfId="0" applyFont="1" applyFill="1" applyBorder="1" applyAlignment="1">
      <alignment horizontal="right" vertical="center" wrapText="1"/>
    </xf>
    <xf numFmtId="0" fontId="7" fillId="4" borderId="31" xfId="0" applyFont="1" applyFill="1" applyBorder="1" applyAlignment="1">
      <alignment horizontal="right" vertical="center" wrapText="1"/>
    </xf>
    <xf numFmtId="9" fontId="6" fillId="3" borderId="32" xfId="0" applyNumberFormat="1" applyFont="1" applyFill="1" applyBorder="1" applyAlignment="1">
      <alignment horizontal="center" vertical="center"/>
    </xf>
    <xf numFmtId="0" fontId="7" fillId="4" borderId="5" xfId="0" applyFont="1" applyFill="1" applyBorder="1" applyAlignment="1">
      <alignment vertical="center"/>
    </xf>
    <xf numFmtId="9" fontId="17" fillId="4" borderId="5" xfId="0" applyNumberFormat="1" applyFont="1" applyFill="1" applyBorder="1" applyAlignment="1">
      <alignment horizontal="center" vertical="center" wrapText="1"/>
    </xf>
    <xf numFmtId="9" fontId="17" fillId="4" borderId="5" xfId="0" applyNumberFormat="1" applyFont="1" applyFill="1" applyBorder="1" applyAlignment="1">
      <alignment horizontal="center" vertical="center"/>
    </xf>
    <xf numFmtId="0" fontId="9" fillId="0" borderId="5" xfId="0" applyFont="1" applyBorder="1" applyAlignment="1">
      <alignment vertical="center"/>
    </xf>
    <xf numFmtId="0" fontId="7" fillId="3" borderId="36" xfId="0" applyFont="1" applyFill="1" applyBorder="1" applyAlignment="1">
      <alignment vertical="center"/>
    </xf>
    <xf numFmtId="165" fontId="4" fillId="3" borderId="36" xfId="0" applyNumberFormat="1" applyFont="1" applyFill="1" applyBorder="1" applyAlignment="1">
      <alignment vertical="center"/>
    </xf>
    <xf numFmtId="0" fontId="9" fillId="3" borderId="36" xfId="0" applyFont="1" applyFill="1" applyBorder="1" applyAlignment="1">
      <alignment vertical="center"/>
    </xf>
    <xf numFmtId="0" fontId="6" fillId="0" borderId="0" xfId="0" applyFont="1" applyAlignment="1">
      <alignment horizontal="left" vertical="top"/>
    </xf>
    <xf numFmtId="9" fontId="4" fillId="0" borderId="0" xfId="0" applyNumberFormat="1" applyFont="1" applyAlignment="1">
      <alignment horizontal="left" vertical="top" wrapText="1"/>
    </xf>
    <xf numFmtId="0" fontId="7" fillId="3" borderId="8" xfId="0" applyFont="1" applyFill="1" applyBorder="1" applyAlignment="1">
      <alignment vertical="center"/>
    </xf>
    <xf numFmtId="165" fontId="4" fillId="3" borderId="8" xfId="0" applyNumberFormat="1" applyFont="1" applyFill="1" applyBorder="1" applyAlignment="1">
      <alignment vertical="center"/>
    </xf>
    <xf numFmtId="0" fontId="10" fillId="3" borderId="8" xfId="0" applyFont="1" applyFill="1" applyBorder="1" applyAlignment="1">
      <alignment vertical="center"/>
    </xf>
    <xf numFmtId="0" fontId="7" fillId="3" borderId="41" xfId="0" applyFont="1" applyFill="1" applyBorder="1" applyAlignment="1">
      <alignment vertical="center"/>
    </xf>
    <xf numFmtId="165" fontId="4" fillId="3" borderId="41" xfId="0" applyNumberFormat="1" applyFont="1" applyFill="1" applyBorder="1" applyAlignment="1">
      <alignment vertical="center"/>
    </xf>
    <xf numFmtId="0" fontId="10" fillId="3" borderId="41" xfId="0" applyFont="1" applyFill="1" applyBorder="1" applyAlignment="1">
      <alignment vertical="center"/>
    </xf>
    <xf numFmtId="0" fontId="7" fillId="4" borderId="44" xfId="0" applyFont="1" applyFill="1" applyBorder="1" applyAlignment="1">
      <alignment vertical="center"/>
    </xf>
    <xf numFmtId="6" fontId="4" fillId="4" borderId="44" xfId="0" applyNumberFormat="1" applyFont="1" applyFill="1" applyBorder="1" applyAlignment="1">
      <alignment vertical="center" wrapText="1"/>
    </xf>
    <xf numFmtId="0" fontId="9" fillId="0" borderId="44" xfId="0" applyFont="1" applyBorder="1" applyAlignment="1">
      <alignment vertical="center"/>
    </xf>
    <xf numFmtId="0" fontId="4" fillId="4" borderId="44" xfId="0" applyFont="1" applyFill="1" applyBorder="1" applyAlignment="1">
      <alignment vertical="center"/>
    </xf>
    <xf numFmtId="0" fontId="4" fillId="0" borderId="0" xfId="0" applyFont="1" applyAlignment="1">
      <alignment vertical="top"/>
    </xf>
    <xf numFmtId="0" fontId="4" fillId="0" borderId="0" xfId="0" applyFont="1" applyAlignment="1">
      <alignment horizontal="left" vertical="top" wrapText="1"/>
    </xf>
    <xf numFmtId="0" fontId="9" fillId="0" borderId="25" xfId="0" applyFont="1" applyBorder="1" applyAlignment="1">
      <alignment vertical="center"/>
    </xf>
    <xf numFmtId="0" fontId="18" fillId="4" borderId="9" xfId="0" applyFont="1" applyFill="1" applyBorder="1" applyAlignment="1">
      <alignment vertical="top" wrapText="1"/>
    </xf>
    <xf numFmtId="0" fontId="8" fillId="3" borderId="9" xfId="0" applyFont="1" applyFill="1" applyBorder="1"/>
    <xf numFmtId="0" fontId="5" fillId="3" borderId="10" xfId="0" applyFont="1" applyFill="1" applyBorder="1" applyAlignment="1">
      <alignment horizontal="center" vertical="center"/>
    </xf>
    <xf numFmtId="0" fontId="5" fillId="3" borderId="7" xfId="0" applyFont="1" applyFill="1" applyBorder="1" applyAlignment="1">
      <alignment horizontal="center" vertical="center" wrapText="1"/>
    </xf>
    <xf numFmtId="0" fontId="5" fillId="3" borderId="7" xfId="0" applyFont="1" applyFill="1" applyBorder="1" applyAlignment="1">
      <alignment horizontal="center" vertical="center"/>
    </xf>
    <xf numFmtId="0" fontId="19" fillId="3" borderId="56" xfId="0" applyFont="1" applyFill="1" applyBorder="1" applyAlignment="1">
      <alignment horizontal="left" vertical="center" readingOrder="1"/>
    </xf>
    <xf numFmtId="0" fontId="4" fillId="3" borderId="57" xfId="0" applyFont="1" applyFill="1" applyBorder="1" applyAlignment="1">
      <alignment vertical="center" wrapText="1"/>
    </xf>
    <xf numFmtId="0" fontId="8" fillId="3" borderId="32" xfId="0" applyFont="1" applyFill="1" applyBorder="1" applyAlignment="1">
      <alignment vertical="center"/>
    </xf>
    <xf numFmtId="0" fontId="2" fillId="7" borderId="58" xfId="0" applyFont="1" applyFill="1" applyBorder="1" applyAlignment="1">
      <alignment vertical="center"/>
    </xf>
    <xf numFmtId="0" fontId="2" fillId="7" borderId="58" xfId="0" applyFont="1" applyFill="1" applyBorder="1" applyAlignment="1">
      <alignment vertical="center" wrapText="1"/>
    </xf>
    <xf numFmtId="0" fontId="21" fillId="7" borderId="58" xfId="0" applyFont="1" applyFill="1" applyBorder="1" applyAlignment="1">
      <alignment vertical="center"/>
    </xf>
    <xf numFmtId="0" fontId="21" fillId="7" borderId="58" xfId="0" applyFont="1" applyFill="1" applyBorder="1" applyAlignment="1">
      <alignment horizontal="left" vertical="top" wrapText="1"/>
    </xf>
    <xf numFmtId="0" fontId="19" fillId="3" borderId="10" xfId="0" applyFont="1" applyFill="1" applyBorder="1" applyAlignment="1">
      <alignment horizontal="left" vertical="center" readingOrder="1"/>
    </xf>
    <xf numFmtId="0" fontId="12" fillId="3" borderId="10" xfId="0" applyFont="1" applyFill="1" applyBorder="1" applyAlignment="1">
      <alignment horizontal="left" vertical="center" wrapText="1" readingOrder="1"/>
    </xf>
    <xf numFmtId="0" fontId="18" fillId="3" borderId="59" xfId="0" applyFont="1" applyFill="1" applyBorder="1" applyAlignment="1">
      <alignment horizontal="left" vertical="center" readingOrder="1"/>
    </xf>
    <xf numFmtId="0" fontId="19" fillId="3" borderId="12" xfId="0" applyFont="1" applyFill="1" applyBorder="1" applyAlignment="1">
      <alignment horizontal="left" vertical="center" readingOrder="1"/>
    </xf>
    <xf numFmtId="0" fontId="4" fillId="3" borderId="12" xfId="0" applyFont="1" applyFill="1" applyBorder="1" applyAlignment="1">
      <alignment horizontal="left" vertical="center" wrapText="1"/>
    </xf>
    <xf numFmtId="0" fontId="19" fillId="3" borderId="57" xfId="0" applyFont="1" applyFill="1" applyBorder="1" applyAlignment="1">
      <alignment horizontal="left" vertical="center" readingOrder="1"/>
    </xf>
    <xf numFmtId="0" fontId="4" fillId="3" borderId="57" xfId="0" applyFont="1" applyFill="1" applyBorder="1" applyAlignment="1">
      <alignment horizontal="left" vertical="center" wrapText="1"/>
    </xf>
    <xf numFmtId="0" fontId="2" fillId="8" borderId="58" xfId="0" applyFont="1" applyFill="1" applyBorder="1" applyAlignment="1">
      <alignment vertical="center"/>
    </xf>
    <xf numFmtId="0" fontId="2" fillId="8" borderId="58" xfId="0" applyFont="1" applyFill="1" applyBorder="1" applyAlignment="1">
      <alignment wrapText="1"/>
    </xf>
    <xf numFmtId="0" fontId="21" fillId="8" borderId="58" xfId="0" applyFont="1" applyFill="1" applyBorder="1" applyAlignment="1">
      <alignment vertical="center"/>
    </xf>
    <xf numFmtId="0" fontId="2" fillId="8" borderId="58" xfId="0" applyFont="1" applyFill="1" applyBorder="1"/>
    <xf numFmtId="0" fontId="21" fillId="8" borderId="58" xfId="0" applyFont="1" applyFill="1" applyBorder="1" applyAlignment="1">
      <alignment horizontal="left" vertical="top" wrapText="1"/>
    </xf>
    <xf numFmtId="0" fontId="4" fillId="3" borderId="66" xfId="0" applyFont="1" applyFill="1" applyBorder="1" applyAlignment="1">
      <alignment horizontal="left" vertical="center" wrapText="1"/>
    </xf>
    <xf numFmtId="0" fontId="18" fillId="3" borderId="67" xfId="0" applyFont="1" applyFill="1" applyBorder="1" applyAlignment="1">
      <alignment horizontal="left" vertical="center" wrapText="1" readingOrder="1"/>
    </xf>
    <xf numFmtId="0" fontId="4" fillId="3" borderId="12" xfId="0" applyFont="1" applyFill="1" applyBorder="1" applyAlignment="1">
      <alignment vertical="center" wrapText="1"/>
    </xf>
    <xf numFmtId="0" fontId="8" fillId="3" borderId="30" xfId="0" applyFont="1" applyFill="1" applyBorder="1" applyAlignment="1">
      <alignment vertical="center"/>
    </xf>
    <xf numFmtId="0" fontId="2" fillId="9" borderId="58" xfId="0" applyFont="1" applyFill="1" applyBorder="1" applyAlignment="1">
      <alignment vertical="center"/>
    </xf>
    <xf numFmtId="0" fontId="2" fillId="9" borderId="58" xfId="0" applyFont="1" applyFill="1" applyBorder="1" applyAlignment="1">
      <alignment vertical="center" wrapText="1"/>
    </xf>
    <xf numFmtId="0" fontId="21" fillId="9" borderId="58" xfId="0" applyFont="1" applyFill="1" applyBorder="1" applyAlignment="1">
      <alignment vertical="center"/>
    </xf>
    <xf numFmtId="0" fontId="21" fillId="9" borderId="58" xfId="0" applyFont="1" applyFill="1" applyBorder="1" applyAlignment="1">
      <alignment horizontal="left" vertical="top" wrapText="1"/>
    </xf>
    <xf numFmtId="0" fontId="8" fillId="3" borderId="30" xfId="0" applyFont="1" applyFill="1" applyBorder="1" applyAlignment="1">
      <alignment vertical="center" wrapText="1"/>
    </xf>
    <xf numFmtId="0" fontId="8" fillId="4" borderId="7" xfId="0" quotePrefix="1" applyFont="1" applyFill="1" applyBorder="1" applyAlignment="1">
      <alignment horizontal="right"/>
    </xf>
    <xf numFmtId="0" fontId="8" fillId="4" borderId="73" xfId="0" applyFont="1" applyFill="1" applyBorder="1"/>
    <xf numFmtId="0" fontId="21" fillId="4" borderId="73" xfId="0" applyFont="1" applyFill="1" applyBorder="1"/>
    <xf numFmtId="0" fontId="8" fillId="4" borderId="73" xfId="0" applyFont="1" applyFill="1" applyBorder="1" applyAlignment="1">
      <alignment wrapText="1"/>
    </xf>
    <xf numFmtId="0" fontId="8" fillId="4" borderId="73" xfId="0" applyFont="1" applyFill="1" applyBorder="1" applyAlignment="1">
      <alignment horizontal="right"/>
    </xf>
    <xf numFmtId="0" fontId="2" fillId="3" borderId="7" xfId="0" applyFont="1" applyFill="1" applyBorder="1" applyAlignment="1">
      <alignment horizontal="center"/>
    </xf>
    <xf numFmtId="0" fontId="7" fillId="10" borderId="7" xfId="0" applyFont="1" applyFill="1" applyBorder="1"/>
    <xf numFmtId="167" fontId="7" fillId="10" borderId="7" xfId="0" applyNumberFormat="1" applyFont="1" applyFill="1" applyBorder="1"/>
    <xf numFmtId="0" fontId="22" fillId="10" borderId="7" xfId="0" applyFont="1" applyFill="1" applyBorder="1"/>
    <xf numFmtId="169" fontId="6" fillId="3" borderId="7" xfId="0" applyNumberFormat="1" applyFont="1" applyFill="1" applyBorder="1" applyAlignment="1">
      <alignment horizontal="left"/>
    </xf>
    <xf numFmtId="167" fontId="4" fillId="3" borderId="7" xfId="0" applyNumberFormat="1" applyFont="1" applyFill="1" applyBorder="1" applyAlignment="1">
      <alignment horizontal="left"/>
    </xf>
    <xf numFmtId="0" fontId="9" fillId="3" borderId="7" xfId="0" applyFont="1" applyFill="1" applyBorder="1" applyAlignment="1">
      <alignment horizontal="left"/>
    </xf>
    <xf numFmtId="0" fontId="4" fillId="0" borderId="0" xfId="0" applyFont="1" applyAlignment="1">
      <alignment horizontal="left"/>
    </xf>
    <xf numFmtId="0" fontId="6" fillId="0" borderId="0" xfId="0" applyFont="1"/>
    <xf numFmtId="173" fontId="6" fillId="4" borderId="7" xfId="0" applyNumberFormat="1" applyFont="1" applyFill="1" applyBorder="1" applyAlignment="1">
      <alignment horizontal="center"/>
    </xf>
    <xf numFmtId="167" fontId="4" fillId="4" borderId="7" xfId="0" applyNumberFormat="1" applyFont="1" applyFill="1" applyBorder="1" applyAlignment="1">
      <alignment horizontal="left"/>
    </xf>
    <xf numFmtId="0" fontId="6" fillId="10" borderId="7" xfId="0" applyFont="1" applyFill="1" applyBorder="1"/>
    <xf numFmtId="0" fontId="4" fillId="3" borderId="71" xfId="0" applyFont="1" applyFill="1" applyBorder="1" applyAlignment="1">
      <alignment horizontal="left"/>
    </xf>
    <xf numFmtId="165" fontId="6" fillId="3" borderId="71" xfId="0" applyNumberFormat="1" applyFont="1" applyFill="1" applyBorder="1" applyAlignment="1">
      <alignment horizontal="center"/>
    </xf>
    <xf numFmtId="167" fontId="4" fillId="3" borderId="71" xfId="0" applyNumberFormat="1" applyFont="1" applyFill="1" applyBorder="1" applyAlignment="1">
      <alignment horizontal="left"/>
    </xf>
    <xf numFmtId="167" fontId="4" fillId="3" borderId="74" xfId="0" applyNumberFormat="1" applyFont="1" applyFill="1" applyBorder="1" applyAlignment="1">
      <alignment horizontal="left"/>
    </xf>
    <xf numFmtId="168" fontId="10" fillId="3" borderId="74" xfId="0" applyNumberFormat="1" applyFont="1" applyFill="1" applyBorder="1" applyAlignment="1">
      <alignment horizontal="left"/>
    </xf>
    <xf numFmtId="0" fontId="2" fillId="11" borderId="7" xfId="0" applyFont="1" applyFill="1" applyBorder="1"/>
    <xf numFmtId="0" fontId="7" fillId="11" borderId="7" xfId="0" applyFont="1" applyFill="1" applyBorder="1"/>
    <xf numFmtId="167" fontId="2" fillId="11" borderId="7" xfId="0" applyNumberFormat="1" applyFont="1" applyFill="1" applyBorder="1"/>
    <xf numFmtId="0" fontId="22" fillId="11" borderId="7" xfId="0" applyFont="1" applyFill="1" applyBorder="1"/>
    <xf numFmtId="165" fontId="6" fillId="3" borderId="7" xfId="0" applyNumberFormat="1" applyFont="1" applyFill="1" applyBorder="1" applyAlignment="1">
      <alignment horizontal="center"/>
    </xf>
    <xf numFmtId="0" fontId="9" fillId="3" borderId="7" xfId="0" applyFont="1" applyFill="1" applyBorder="1"/>
    <xf numFmtId="0" fontId="23" fillId="12" borderId="7" xfId="0" applyFont="1" applyFill="1" applyBorder="1" applyAlignment="1">
      <alignment horizontal="right"/>
    </xf>
    <xf numFmtId="10" fontId="23" fillId="12" borderId="7" xfId="0" applyNumberFormat="1" applyFont="1" applyFill="1" applyBorder="1" applyAlignment="1">
      <alignment horizontal="center"/>
    </xf>
    <xf numFmtId="0" fontId="15" fillId="12" borderId="7" xfId="0" applyFont="1" applyFill="1" applyBorder="1"/>
    <xf numFmtId="167" fontId="23" fillId="12" borderId="7" xfId="0" applyNumberFormat="1" applyFont="1" applyFill="1" applyBorder="1"/>
    <xf numFmtId="0" fontId="24" fillId="12" borderId="7" xfId="0" applyFont="1" applyFill="1" applyBorder="1"/>
    <xf numFmtId="0" fontId="3" fillId="0" borderId="4" xfId="0" applyFont="1" applyBorder="1"/>
    <xf numFmtId="0" fontId="3" fillId="0" borderId="76" xfId="0" applyFont="1" applyBorder="1"/>
    <xf numFmtId="0" fontId="12" fillId="4" borderId="75" xfId="0" applyFont="1" applyFill="1" applyBorder="1" applyAlignment="1">
      <alignment vertical="top" wrapText="1"/>
    </xf>
    <xf numFmtId="0" fontId="12" fillId="4" borderId="75" xfId="0" applyFont="1" applyFill="1" applyBorder="1" applyAlignment="1">
      <alignment horizontal="left" vertical="top" wrapText="1"/>
    </xf>
    <xf numFmtId="0" fontId="6" fillId="10" borderId="7" xfId="0" applyFont="1" applyFill="1" applyBorder="1" applyAlignment="1">
      <alignment horizontal="center"/>
    </xf>
    <xf numFmtId="177" fontId="6" fillId="10" borderId="7" xfId="0" applyNumberFormat="1" applyFont="1" applyFill="1" applyBorder="1" applyAlignment="1">
      <alignment horizontal="left"/>
    </xf>
    <xf numFmtId="174" fontId="7" fillId="11" borderId="7" xfId="0" applyNumberFormat="1" applyFont="1" applyFill="1" applyBorder="1" applyAlignment="1">
      <alignment horizontal="center"/>
    </xf>
    <xf numFmtId="0" fontId="7" fillId="10" borderId="7" xfId="0" applyFont="1" applyFill="1" applyBorder="1" applyAlignment="1">
      <alignment horizontal="center"/>
    </xf>
    <xf numFmtId="164" fontId="6" fillId="4" borderId="7" xfId="0" applyNumberFormat="1" applyFont="1" applyFill="1" applyBorder="1" applyAlignment="1">
      <alignment horizontal="center"/>
    </xf>
    <xf numFmtId="174" fontId="2" fillId="11" borderId="7" xfId="0" applyNumberFormat="1" applyFont="1" applyFill="1" applyBorder="1" applyAlignment="1">
      <alignment horizontal="center"/>
    </xf>
    <xf numFmtId="0" fontId="32" fillId="3" borderId="74" xfId="0" applyFont="1" applyFill="1" applyBorder="1" applyAlignment="1">
      <alignment horizontal="left"/>
    </xf>
    <xf numFmtId="9" fontId="6" fillId="2" borderId="27" xfId="0" applyNumberFormat="1" applyFont="1" applyFill="1" applyBorder="1" applyAlignment="1" applyProtection="1">
      <alignment horizontal="center" vertical="center"/>
      <protection locked="0"/>
    </xf>
    <xf numFmtId="9" fontId="6" fillId="2" borderId="30" xfId="0" applyNumberFormat="1" applyFont="1" applyFill="1" applyBorder="1" applyAlignment="1" applyProtection="1">
      <alignment horizontal="center" vertical="center"/>
      <protection locked="0"/>
    </xf>
    <xf numFmtId="164" fontId="2" fillId="2" borderId="48" xfId="0" applyNumberFormat="1" applyFont="1" applyFill="1" applyBorder="1" applyAlignment="1" applyProtection="1">
      <alignment horizontal="left" vertical="center" wrapText="1"/>
      <protection locked="0"/>
    </xf>
    <xf numFmtId="172" fontId="6" fillId="2" borderId="7" xfId="0" applyNumberFormat="1" applyFont="1" applyFill="1" applyBorder="1" applyAlignment="1" applyProtection="1">
      <alignment horizontal="center"/>
      <protection locked="0"/>
    </xf>
    <xf numFmtId="166" fontId="6" fillId="2" borderId="71" xfId="0" applyNumberFormat="1" applyFont="1" applyFill="1" applyBorder="1" applyAlignment="1" applyProtection="1">
      <alignment horizontal="center"/>
      <protection locked="0"/>
    </xf>
    <xf numFmtId="9" fontId="6" fillId="2" borderId="74" xfId="0" applyNumberFormat="1" applyFont="1" applyFill="1" applyBorder="1" applyAlignment="1" applyProtection="1">
      <alignment horizontal="center"/>
      <protection locked="0"/>
    </xf>
    <xf numFmtId="164" fontId="33" fillId="2" borderId="48" xfId="0" applyNumberFormat="1" applyFont="1" applyFill="1" applyBorder="1" applyAlignment="1" applyProtection="1">
      <alignment horizontal="left" vertical="center" wrapText="1"/>
      <protection locked="0"/>
    </xf>
    <xf numFmtId="0" fontId="4" fillId="3" borderId="71" xfId="0" applyFont="1" applyFill="1" applyBorder="1" applyAlignment="1">
      <alignment horizontal="left" vertical="center" wrapText="1"/>
    </xf>
    <xf numFmtId="0" fontId="0" fillId="13" borderId="0" xfId="0" applyFill="1"/>
    <xf numFmtId="0" fontId="35" fillId="5" borderId="13" xfId="0" applyFont="1" applyFill="1" applyBorder="1" applyAlignment="1">
      <alignment horizontal="center" vertical="center" wrapText="1"/>
    </xf>
    <xf numFmtId="0" fontId="35" fillId="15" borderId="78" xfId="0" applyFont="1" applyFill="1" applyBorder="1" applyAlignment="1">
      <alignment horizontal="center" vertical="center" wrapText="1"/>
    </xf>
    <xf numFmtId="0" fontId="39" fillId="15" borderId="78" xfId="0" applyFont="1" applyFill="1" applyBorder="1" applyAlignment="1">
      <alignment vertical="center"/>
    </xf>
    <xf numFmtId="0" fontId="15" fillId="15" borderId="78" xfId="0" applyFont="1" applyFill="1" applyBorder="1" applyAlignment="1">
      <alignment horizontal="right" vertical="center" wrapText="1"/>
    </xf>
    <xf numFmtId="9" fontId="15" fillId="15" borderId="78" xfId="0" applyNumberFormat="1" applyFont="1" applyFill="1" applyBorder="1" applyAlignment="1">
      <alignment horizontal="left" vertical="center" wrapText="1"/>
    </xf>
    <xf numFmtId="0" fontId="15" fillId="15" borderId="78" xfId="0" applyFont="1" applyFill="1" applyBorder="1" applyAlignment="1">
      <alignment horizontal="right"/>
    </xf>
    <xf numFmtId="9" fontId="15" fillId="15" borderId="78" xfId="0" applyNumberFormat="1" applyFont="1" applyFill="1" applyBorder="1" applyAlignment="1">
      <alignment horizontal="left"/>
    </xf>
    <xf numFmtId="0" fontId="7" fillId="18" borderId="7" xfId="0" applyFont="1" applyFill="1" applyBorder="1"/>
    <xf numFmtId="0" fontId="57" fillId="4" borderId="9" xfId="0" applyFont="1" applyFill="1" applyBorder="1" applyAlignment="1">
      <alignment vertical="top" wrapText="1"/>
    </xf>
    <xf numFmtId="0" fontId="4" fillId="0" borderId="7" xfId="0" applyFont="1" applyBorder="1" applyAlignment="1">
      <alignment vertical="center"/>
    </xf>
    <xf numFmtId="9" fontId="6" fillId="23" borderId="27" xfId="0" applyNumberFormat="1" applyFont="1" applyFill="1" applyBorder="1" applyAlignment="1">
      <alignment horizontal="center" vertical="center"/>
    </xf>
    <xf numFmtId="0" fontId="56" fillId="0" borderId="71" xfId="0" applyFont="1" applyBorder="1"/>
    <xf numFmtId="0" fontId="33" fillId="13" borderId="71" xfId="0" applyFont="1" applyFill="1" applyBorder="1"/>
    <xf numFmtId="0" fontId="33" fillId="13" borderId="71" xfId="0" applyFont="1" applyFill="1" applyBorder="1" applyAlignment="1">
      <alignment horizontal="center"/>
    </xf>
    <xf numFmtId="0" fontId="1" fillId="0" borderId="0" xfId="0" applyFont="1"/>
    <xf numFmtId="0" fontId="46" fillId="21" borderId="71" xfId="0" applyFont="1" applyFill="1" applyBorder="1"/>
    <xf numFmtId="0" fontId="48" fillId="20" borderId="0" xfId="0" applyFont="1" applyFill="1"/>
    <xf numFmtId="0" fontId="48" fillId="20" borderId="71" xfId="0" applyFont="1" applyFill="1" applyBorder="1" applyAlignment="1">
      <alignment horizontal="center"/>
    </xf>
    <xf numFmtId="0" fontId="48" fillId="0" borderId="0" xfId="0" applyFont="1"/>
    <xf numFmtId="0" fontId="34" fillId="13" borderId="79" xfId="0" applyFont="1" applyFill="1" applyBorder="1" applyAlignment="1">
      <alignment horizontal="left" vertical="top" indent="1"/>
    </xf>
    <xf numFmtId="6" fontId="6" fillId="13" borderId="79" xfId="0" applyNumberFormat="1" applyFont="1" applyFill="1" applyBorder="1" applyAlignment="1">
      <alignment horizontal="left" vertical="top"/>
    </xf>
    <xf numFmtId="9" fontId="55" fillId="13" borderId="85" xfId="0" applyNumberFormat="1" applyFont="1" applyFill="1" applyBorder="1" applyAlignment="1">
      <alignment horizontal="center" vertical="top" wrapText="1"/>
    </xf>
    <xf numFmtId="0" fontId="34" fillId="13" borderId="85" xfId="0" applyFont="1" applyFill="1" applyBorder="1" applyAlignment="1">
      <alignment horizontal="center" vertical="top" wrapText="1"/>
    </xf>
    <xf numFmtId="0" fontId="34" fillId="13" borderId="80" xfId="0" applyFont="1" applyFill="1" applyBorder="1" applyAlignment="1">
      <alignment horizontal="left" vertical="top" indent="1"/>
    </xf>
    <xf numFmtId="0" fontId="6" fillId="13" borderId="80" xfId="0" applyFont="1" applyFill="1" applyBorder="1" applyAlignment="1">
      <alignment horizontal="left" vertical="top"/>
    </xf>
    <xf numFmtId="9" fontId="55" fillId="13" borderId="86" xfId="0" applyNumberFormat="1" applyFont="1" applyFill="1" applyBorder="1" applyAlignment="1">
      <alignment horizontal="center" vertical="top" wrapText="1"/>
    </xf>
    <xf numFmtId="9" fontId="59" fillId="13" borderId="86" xfId="0" applyNumberFormat="1" applyFont="1" applyFill="1" applyBorder="1" applyAlignment="1">
      <alignment horizontal="center" vertical="top" wrapText="1"/>
    </xf>
    <xf numFmtId="0" fontId="34" fillId="13" borderId="81" xfId="0" applyFont="1" applyFill="1" applyBorder="1" applyAlignment="1">
      <alignment horizontal="left" vertical="top" indent="1"/>
    </xf>
    <xf numFmtId="6" fontId="6" fillId="13" borderId="81" xfId="0" applyNumberFormat="1" applyFont="1" applyFill="1" applyBorder="1" applyAlignment="1">
      <alignment horizontal="left" vertical="top"/>
    </xf>
    <xf numFmtId="0" fontId="34" fillId="13" borderId="87" xfId="0" applyFont="1" applyFill="1" applyBorder="1" applyAlignment="1">
      <alignment horizontal="center" vertical="top" wrapText="1"/>
    </xf>
    <xf numFmtId="9" fontId="55" fillId="13" borderId="87" xfId="0" applyNumberFormat="1" applyFont="1" applyFill="1" applyBorder="1" applyAlignment="1">
      <alignment horizontal="center" vertical="top" wrapText="1"/>
    </xf>
    <xf numFmtId="0" fontId="46" fillId="21" borderId="71" xfId="0" applyFont="1" applyFill="1" applyBorder="1" applyAlignment="1">
      <alignment wrapText="1"/>
    </xf>
    <xf numFmtId="0" fontId="50" fillId="13" borderId="86" xfId="0" applyFont="1" applyFill="1" applyBorder="1" applyAlignment="1">
      <alignment horizontal="center" vertical="top" wrapText="1"/>
    </xf>
    <xf numFmtId="6" fontId="6" fillId="13" borderId="80" xfId="0" applyNumberFormat="1" applyFont="1" applyFill="1" applyBorder="1" applyAlignment="1">
      <alignment horizontal="left" vertical="top"/>
    </xf>
    <xf numFmtId="0" fontId="34" fillId="13" borderId="86" xfId="0" applyFont="1" applyFill="1" applyBorder="1" applyAlignment="1">
      <alignment horizontal="center" vertical="top" wrapText="1"/>
    </xf>
    <xf numFmtId="0" fontId="0" fillId="0" borderId="71" xfId="0" applyBorder="1"/>
    <xf numFmtId="0" fontId="2" fillId="3" borderId="71" xfId="0" applyFont="1" applyFill="1" applyBorder="1"/>
    <xf numFmtId="0" fontId="45" fillId="3" borderId="71" xfId="0" applyFont="1" applyFill="1" applyBorder="1" applyAlignment="1">
      <alignment horizontal="left" indent="1"/>
    </xf>
    <xf numFmtId="0" fontId="45" fillId="3" borderId="71" xfId="0" applyFont="1" applyFill="1" applyBorder="1" applyAlignment="1">
      <alignment horizontal="left" indent="2"/>
    </xf>
    <xf numFmtId="0" fontId="43" fillId="14" borderId="71" xfId="0" applyFont="1" applyFill="1" applyBorder="1" applyAlignment="1">
      <alignment horizontal="left" vertical="top" wrapText="1" indent="1"/>
    </xf>
    <xf numFmtId="0" fontId="45" fillId="3" borderId="71" xfId="0" applyFont="1" applyFill="1" applyBorder="1" applyAlignment="1">
      <alignment horizontal="left" vertical="top" wrapText="1" indent="1"/>
    </xf>
    <xf numFmtId="0" fontId="43" fillId="3" borderId="71" xfId="0" applyFont="1" applyFill="1" applyBorder="1" applyAlignment="1">
      <alignment horizontal="left" vertical="top" wrapText="1" indent="1"/>
    </xf>
    <xf numFmtId="0" fontId="4" fillId="3" borderId="71" xfId="0" applyFont="1" applyFill="1" applyBorder="1"/>
    <xf numFmtId="0" fontId="11" fillId="13" borderId="71" xfId="0" applyFont="1" applyFill="1" applyBorder="1"/>
    <xf numFmtId="0" fontId="49" fillId="3" borderId="71" xfId="0" applyFont="1" applyFill="1" applyBorder="1" applyAlignment="1">
      <alignment horizontal="left" vertical="top" wrapText="1"/>
    </xf>
    <xf numFmtId="0" fontId="4" fillId="3" borderId="71" xfId="0" applyFont="1" applyFill="1" applyBorder="1" applyAlignment="1">
      <alignment horizontal="left" indent="1"/>
    </xf>
    <xf numFmtId="0" fontId="4" fillId="3" borderId="71" xfId="0" applyFont="1" applyFill="1" applyBorder="1" applyAlignment="1">
      <alignment horizontal="left" vertical="center" wrapText="1" indent="1"/>
    </xf>
    <xf numFmtId="0" fontId="46" fillId="19" borderId="7" xfId="0" applyFont="1" applyFill="1" applyBorder="1"/>
    <xf numFmtId="0" fontId="46" fillId="19" borderId="71" xfId="0" applyFont="1" applyFill="1" applyBorder="1"/>
    <xf numFmtId="0" fontId="40" fillId="2" borderId="2" xfId="0" applyFont="1" applyFill="1" applyBorder="1" applyAlignment="1" applyProtection="1">
      <alignment horizontal="center" vertical="center"/>
      <protection locked="0"/>
    </xf>
    <xf numFmtId="0" fontId="4" fillId="2" borderId="2" xfId="0" applyFont="1" applyFill="1" applyBorder="1" applyAlignment="1" applyProtection="1">
      <alignment horizontal="center"/>
      <protection locked="0"/>
    </xf>
    <xf numFmtId="0" fontId="20" fillId="22" borderId="2" xfId="0" applyFont="1" applyFill="1" applyBorder="1" applyAlignment="1" applyProtection="1">
      <alignment horizontal="center" vertical="center"/>
      <protection locked="0"/>
    </xf>
    <xf numFmtId="0" fontId="34" fillId="3" borderId="12" xfId="0" applyFont="1" applyFill="1" applyBorder="1" applyAlignment="1">
      <alignment horizontal="left" vertical="center" wrapText="1"/>
    </xf>
    <xf numFmtId="0" fontId="61" fillId="3" borderId="66" xfId="0" applyFont="1" applyFill="1" applyBorder="1" applyAlignment="1">
      <alignment horizontal="left" vertical="center" readingOrder="1"/>
    </xf>
    <xf numFmtId="0" fontId="62" fillId="3" borderId="30" xfId="0" applyFont="1" applyFill="1" applyBorder="1" applyAlignment="1">
      <alignment vertical="center"/>
    </xf>
    <xf numFmtId="0" fontId="34" fillId="3" borderId="57" xfId="0" applyFont="1" applyFill="1" applyBorder="1" applyAlignment="1">
      <alignment vertical="center" wrapText="1"/>
    </xf>
    <xf numFmtId="0" fontId="62" fillId="3" borderId="59" xfId="0" applyFont="1" applyFill="1" applyBorder="1" applyAlignment="1">
      <alignment vertical="center"/>
    </xf>
    <xf numFmtId="0" fontId="56" fillId="3" borderId="30" xfId="0" applyFont="1" applyFill="1" applyBorder="1" applyAlignment="1">
      <alignment horizontal="left" vertical="center" wrapText="1" readingOrder="1"/>
    </xf>
    <xf numFmtId="0" fontId="56" fillId="3" borderId="32" xfId="0" applyFont="1" applyFill="1" applyBorder="1" applyAlignment="1">
      <alignment horizontal="left" vertical="center" wrapText="1" readingOrder="1"/>
    </xf>
    <xf numFmtId="170" fontId="6" fillId="24" borderId="7" xfId="0" applyNumberFormat="1" applyFont="1" applyFill="1" applyBorder="1" applyAlignment="1">
      <alignment horizontal="center"/>
    </xf>
    <xf numFmtId="171" fontId="6" fillId="24" borderId="7" xfId="0" applyNumberFormat="1" applyFont="1" applyFill="1" applyBorder="1" applyAlignment="1">
      <alignment horizontal="center"/>
    </xf>
    <xf numFmtId="167" fontId="6" fillId="24" borderId="7" xfId="0" applyNumberFormat="1" applyFont="1" applyFill="1" applyBorder="1"/>
    <xf numFmtId="0" fontId="9" fillId="24" borderId="7" xfId="0" applyFont="1" applyFill="1" applyBorder="1"/>
    <xf numFmtId="167" fontId="6" fillId="24" borderId="7" xfId="0" applyNumberFormat="1" applyFont="1" applyFill="1" applyBorder="1" applyAlignment="1">
      <alignment horizontal="right"/>
    </xf>
    <xf numFmtId="172" fontId="6" fillId="24" borderId="79" xfId="0" applyNumberFormat="1" applyFont="1" applyFill="1" applyBorder="1" applyAlignment="1">
      <alignment horizontal="center"/>
    </xf>
    <xf numFmtId="173" fontId="6" fillId="24" borderId="79" xfId="0" applyNumberFormat="1" applyFont="1" applyFill="1" applyBorder="1" applyAlignment="1">
      <alignment horizontal="center"/>
    </xf>
    <xf numFmtId="167" fontId="6" fillId="24" borderId="79" xfId="0" applyNumberFormat="1" applyFont="1" applyFill="1" applyBorder="1"/>
    <xf numFmtId="167" fontId="6" fillId="24" borderId="79" xfId="0" applyNumberFormat="1" applyFont="1" applyFill="1" applyBorder="1" applyAlignment="1">
      <alignment horizontal="right"/>
    </xf>
    <xf numFmtId="0" fontId="9" fillId="24" borderId="79" xfId="0" applyFont="1" applyFill="1" applyBorder="1"/>
    <xf numFmtId="172" fontId="6" fillId="2" borderId="71" xfId="0" applyNumberFormat="1" applyFont="1" applyFill="1" applyBorder="1" applyAlignment="1" applyProtection="1">
      <alignment horizontal="center"/>
      <protection locked="0"/>
    </xf>
    <xf numFmtId="173" fontId="6" fillId="2" borderId="71" xfId="0" applyNumberFormat="1" applyFont="1" applyFill="1" applyBorder="1" applyAlignment="1" applyProtection="1">
      <alignment horizontal="center"/>
      <protection locked="0"/>
    </xf>
    <xf numFmtId="166" fontId="6" fillId="2" borderId="76" xfId="0" applyNumberFormat="1" applyFont="1" applyFill="1" applyBorder="1" applyAlignment="1" applyProtection="1">
      <alignment horizontal="center"/>
      <protection locked="0"/>
    </xf>
    <xf numFmtId="165" fontId="6" fillId="3" borderId="76" xfId="0" applyNumberFormat="1" applyFont="1" applyFill="1" applyBorder="1" applyAlignment="1">
      <alignment horizontal="center"/>
    </xf>
    <xf numFmtId="167" fontId="4" fillId="3" borderId="76" xfId="0" applyNumberFormat="1" applyFont="1" applyFill="1" applyBorder="1" applyAlignment="1">
      <alignment horizontal="left"/>
    </xf>
    <xf numFmtId="9" fontId="6" fillId="2" borderId="66" xfId="0" applyNumberFormat="1" applyFont="1" applyFill="1" applyBorder="1" applyAlignment="1" applyProtection="1">
      <alignment horizontal="center"/>
      <protection locked="0"/>
    </xf>
    <xf numFmtId="0" fontId="32" fillId="3" borderId="66" xfId="0" applyFont="1" applyFill="1" applyBorder="1" applyAlignment="1">
      <alignment horizontal="left"/>
    </xf>
    <xf numFmtId="167" fontId="4" fillId="3" borderId="66" xfId="0" applyNumberFormat="1" applyFont="1" applyFill="1" applyBorder="1" applyAlignment="1">
      <alignment horizontal="left"/>
    </xf>
    <xf numFmtId="168" fontId="10" fillId="3" borderId="66" xfId="0" applyNumberFormat="1" applyFont="1" applyFill="1" applyBorder="1" applyAlignment="1">
      <alignment horizontal="left"/>
    </xf>
    <xf numFmtId="9" fontId="6" fillId="2" borderId="76" xfId="0" applyNumberFormat="1" applyFont="1" applyFill="1" applyBorder="1" applyAlignment="1" applyProtection="1">
      <alignment horizontal="center"/>
      <protection locked="0"/>
    </xf>
    <xf numFmtId="0" fontId="32" fillId="3" borderId="76" xfId="0" applyFont="1" applyFill="1" applyBorder="1" applyAlignment="1">
      <alignment horizontal="left"/>
    </xf>
    <xf numFmtId="168" fontId="10" fillId="3" borderId="76" xfId="0" applyNumberFormat="1" applyFont="1" applyFill="1" applyBorder="1" applyAlignment="1">
      <alignment horizontal="left"/>
    </xf>
    <xf numFmtId="164" fontId="6" fillId="4" borderId="79" xfId="0" applyNumberFormat="1" applyFont="1" applyFill="1" applyBorder="1" applyAlignment="1">
      <alignment horizontal="center"/>
    </xf>
    <xf numFmtId="165" fontId="6" fillId="3" borderId="79" xfId="0" applyNumberFormat="1" applyFont="1" applyFill="1" applyBorder="1" applyAlignment="1">
      <alignment horizontal="center"/>
    </xf>
    <xf numFmtId="167" fontId="4" fillId="3" borderId="79" xfId="0" applyNumberFormat="1" applyFont="1" applyFill="1" applyBorder="1" applyAlignment="1">
      <alignment horizontal="left"/>
    </xf>
    <xf numFmtId="0" fontId="9" fillId="3" borderId="79" xfId="0" applyFont="1" applyFill="1" applyBorder="1"/>
    <xf numFmtId="175" fontId="6" fillId="3" borderId="81" xfId="0" applyNumberFormat="1" applyFont="1" applyFill="1" applyBorder="1" applyAlignment="1">
      <alignment horizontal="center" vertical="center" wrapText="1"/>
    </xf>
    <xf numFmtId="165" fontId="6" fillId="3" borderId="81" xfId="0" applyNumberFormat="1" applyFont="1" applyFill="1" applyBorder="1" applyAlignment="1">
      <alignment horizontal="center"/>
    </xf>
    <xf numFmtId="167" fontId="4" fillId="3" borderId="81" xfId="0" applyNumberFormat="1" applyFont="1" applyFill="1" applyBorder="1" applyAlignment="1">
      <alignment horizontal="left"/>
    </xf>
    <xf numFmtId="0" fontId="9" fillId="3" borderId="81" xfId="0" applyFont="1" applyFill="1" applyBorder="1"/>
    <xf numFmtId="170" fontId="6" fillId="3" borderId="79" xfId="0" applyNumberFormat="1" applyFont="1" applyFill="1" applyBorder="1" applyAlignment="1">
      <alignment horizontal="center" vertical="center" wrapText="1"/>
    </xf>
    <xf numFmtId="0" fontId="10" fillId="3" borderId="79" xfId="0" applyFont="1" applyFill="1" applyBorder="1"/>
    <xf numFmtId="175" fontId="6" fillId="3" borderId="80" xfId="0" applyNumberFormat="1" applyFont="1" applyFill="1" applyBorder="1" applyAlignment="1">
      <alignment horizontal="center" vertical="center" wrapText="1"/>
    </xf>
    <xf numFmtId="165" fontId="6" fillId="3" borderId="80" xfId="0" applyNumberFormat="1" applyFont="1" applyFill="1" applyBorder="1" applyAlignment="1">
      <alignment horizontal="center"/>
    </xf>
    <xf numFmtId="167" fontId="4" fillId="3" borderId="80" xfId="0" applyNumberFormat="1" applyFont="1" applyFill="1" applyBorder="1" applyAlignment="1">
      <alignment horizontal="left"/>
    </xf>
    <xf numFmtId="0" fontId="10" fillId="3" borderId="80" xfId="0" applyFont="1" applyFill="1" applyBorder="1"/>
    <xf numFmtId="164" fontId="6" fillId="3" borderId="80" xfId="0" applyNumberFormat="1" applyFont="1" applyFill="1" applyBorder="1" applyAlignment="1">
      <alignment horizontal="center" vertical="center" wrapText="1"/>
    </xf>
    <xf numFmtId="166" fontId="6" fillId="3" borderId="80" xfId="0" applyNumberFormat="1" applyFont="1" applyFill="1" applyBorder="1" applyAlignment="1">
      <alignment horizontal="center" vertical="center" wrapText="1"/>
    </xf>
    <xf numFmtId="0" fontId="9" fillId="3" borderId="80" xfId="0" applyFont="1" applyFill="1" applyBorder="1"/>
    <xf numFmtId="176" fontId="6" fillId="2" borderId="81" xfId="0" applyNumberFormat="1" applyFont="1" applyFill="1" applyBorder="1" applyAlignment="1" applyProtection="1">
      <alignment horizontal="center"/>
      <protection locked="0"/>
    </xf>
    <xf numFmtId="173" fontId="6" fillId="14" borderId="81" xfId="0" applyNumberFormat="1" applyFont="1" applyFill="1" applyBorder="1" applyAlignment="1">
      <alignment horizontal="center"/>
    </xf>
    <xf numFmtId="167" fontId="4" fillId="14" borderId="81" xfId="0" applyNumberFormat="1" applyFont="1" applyFill="1" applyBorder="1" applyAlignment="1">
      <alignment horizontal="left"/>
    </xf>
    <xf numFmtId="168" fontId="10" fillId="0" borderId="71" xfId="0" applyNumberFormat="1" applyFont="1" applyBorder="1" applyAlignment="1">
      <alignment horizontal="left"/>
    </xf>
    <xf numFmtId="0" fontId="9" fillId="3" borderId="71" xfId="0" applyFont="1" applyFill="1" applyBorder="1" applyAlignment="1">
      <alignment horizontal="left"/>
    </xf>
    <xf numFmtId="0" fontId="9" fillId="13" borderId="81" xfId="0" applyFont="1" applyFill="1" applyBorder="1" applyAlignment="1">
      <alignment horizontal="left"/>
    </xf>
    <xf numFmtId="166" fontId="50" fillId="25" borderId="48" xfId="0" applyNumberFormat="1" applyFont="1" applyFill="1" applyBorder="1" applyAlignment="1" applyProtection="1">
      <alignment horizontal="left" vertical="center" wrapText="1"/>
      <protection locked="0"/>
    </xf>
    <xf numFmtId="9" fontId="6" fillId="23" borderId="30" xfId="0" applyNumberFormat="1" applyFont="1" applyFill="1" applyBorder="1" applyAlignment="1">
      <alignment horizontal="center" vertical="center"/>
    </xf>
    <xf numFmtId="0" fontId="62" fillId="2" borderId="29" xfId="0" applyFont="1" applyFill="1" applyBorder="1" applyAlignment="1" applyProtection="1">
      <alignment horizontal="left" vertical="top" wrapText="1"/>
      <protection locked="0"/>
    </xf>
    <xf numFmtId="0" fontId="62" fillId="2" borderId="76" xfId="0" applyFont="1" applyFill="1" applyBorder="1" applyAlignment="1" applyProtection="1">
      <alignment horizontal="left" vertical="top" wrapText="1"/>
      <protection locked="0"/>
    </xf>
    <xf numFmtId="0" fontId="9" fillId="3" borderId="71" xfId="0" applyFont="1" applyFill="1" applyBorder="1" applyAlignment="1">
      <alignment horizontal="left" vertical="top" wrapText="1"/>
    </xf>
    <xf numFmtId="0" fontId="41" fillId="17" borderId="7" xfId="0" applyFont="1" applyFill="1" applyBorder="1" applyAlignment="1">
      <alignment horizontal="left"/>
    </xf>
    <xf numFmtId="0" fontId="41" fillId="17" borderId="71" xfId="0" applyFont="1" applyFill="1" applyBorder="1" applyAlignment="1">
      <alignment horizontal="left"/>
    </xf>
    <xf numFmtId="0" fontId="49" fillId="3" borderId="71" xfId="0" quotePrefix="1" applyFont="1" applyFill="1" applyBorder="1" applyAlignment="1">
      <alignment horizontal="left" vertical="top" wrapText="1"/>
    </xf>
    <xf numFmtId="0" fontId="4" fillId="3" borderId="71" xfId="0" applyFont="1" applyFill="1" applyBorder="1" applyAlignment="1">
      <alignment horizontal="center"/>
    </xf>
    <xf numFmtId="0" fontId="45" fillId="3" borderId="71" xfId="0" applyFont="1" applyFill="1" applyBorder="1" applyAlignment="1">
      <alignment horizontal="left" vertical="top" indent="1"/>
    </xf>
    <xf numFmtId="0" fontId="49" fillId="3" borderId="71" xfId="0" applyFont="1" applyFill="1" applyBorder="1" applyAlignment="1">
      <alignment horizontal="left" vertical="top" wrapText="1"/>
    </xf>
    <xf numFmtId="0" fontId="4" fillId="3" borderId="71" xfId="0" applyFont="1" applyFill="1" applyBorder="1" applyAlignment="1">
      <alignment horizontal="left" vertical="top" indent="1"/>
    </xf>
    <xf numFmtId="0" fontId="4" fillId="3" borderId="71" xfId="0" applyFont="1" applyFill="1" applyBorder="1" applyAlignment="1">
      <alignment horizontal="left" vertical="top" wrapText="1" indent="1"/>
    </xf>
    <xf numFmtId="0" fontId="6" fillId="13" borderId="66" xfId="0" applyFont="1" applyFill="1" applyBorder="1" applyAlignment="1">
      <alignment horizontal="left" vertical="top" wrapText="1"/>
    </xf>
    <xf numFmtId="0" fontId="6" fillId="13" borderId="67" xfId="0" applyFont="1" applyFill="1" applyBorder="1" applyAlignment="1">
      <alignment horizontal="left" vertical="top" wrapText="1"/>
    </xf>
    <xf numFmtId="0" fontId="46" fillId="19" borderId="71" xfId="0" applyFont="1" applyFill="1" applyBorder="1" applyAlignment="1">
      <alignment horizontal="center"/>
    </xf>
    <xf numFmtId="0" fontId="62" fillId="2" borderId="82" xfId="0" applyFont="1" applyFill="1" applyBorder="1" applyAlignment="1" applyProtection="1">
      <alignment horizontal="left" vertical="top" wrapText="1"/>
      <protection locked="0"/>
    </xf>
    <xf numFmtId="0" fontId="62" fillId="2" borderId="66" xfId="0" applyFont="1" applyFill="1" applyBorder="1" applyAlignment="1" applyProtection="1">
      <alignment horizontal="left" vertical="top" wrapText="1"/>
      <protection locked="0"/>
    </xf>
    <xf numFmtId="0" fontId="52" fillId="13" borderId="71" xfId="0" applyFont="1" applyFill="1" applyBorder="1" applyAlignment="1">
      <alignment horizontal="left" vertical="top" wrapText="1"/>
    </xf>
    <xf numFmtId="0" fontId="45" fillId="4" borderId="71" xfId="0" applyFont="1" applyFill="1" applyBorder="1" applyAlignment="1">
      <alignment horizontal="left" indent="1"/>
    </xf>
    <xf numFmtId="0" fontId="45" fillId="3" borderId="71" xfId="0" applyFont="1" applyFill="1" applyBorder="1" applyAlignment="1">
      <alignment horizontal="left" indent="1"/>
    </xf>
    <xf numFmtId="6" fontId="32" fillId="13" borderId="79" xfId="0" applyNumberFormat="1" applyFont="1" applyFill="1" applyBorder="1" applyAlignment="1">
      <alignment horizontal="left" vertical="top" wrapText="1"/>
    </xf>
    <xf numFmtId="6" fontId="6" fillId="13" borderId="79" xfId="0" applyNumberFormat="1" applyFont="1" applyFill="1" applyBorder="1" applyAlignment="1">
      <alignment horizontal="left" vertical="top" wrapText="1"/>
    </xf>
    <xf numFmtId="0" fontId="52" fillId="13" borderId="71" xfId="0" applyFont="1" applyFill="1" applyBorder="1" applyAlignment="1">
      <alignment horizontal="left"/>
    </xf>
    <xf numFmtId="0" fontId="58" fillId="13" borderId="71" xfId="0" applyFont="1" applyFill="1" applyBorder="1" applyAlignment="1">
      <alignment horizontal="left" vertical="top" wrapText="1"/>
    </xf>
    <xf numFmtId="0" fontId="41" fillId="16" borderId="0" xfId="0" applyFont="1" applyFill="1" applyAlignment="1">
      <alignment horizontal="left" vertical="center"/>
    </xf>
    <xf numFmtId="0" fontId="52" fillId="13" borderId="0" xfId="0" applyFont="1" applyFill="1" applyAlignment="1">
      <alignment vertical="top" wrapText="1"/>
    </xf>
    <xf numFmtId="0" fontId="53" fillId="13" borderId="0" xfId="0" applyFont="1" applyFill="1"/>
    <xf numFmtId="0" fontId="62" fillId="2" borderId="83" xfId="0" applyFont="1" applyFill="1" applyBorder="1" applyAlignment="1" applyProtection="1">
      <alignment horizontal="left" vertical="top" wrapText="1"/>
      <protection locked="0"/>
    </xf>
    <xf numFmtId="0" fontId="62" fillId="2" borderId="74" xfId="0" applyFont="1" applyFill="1" applyBorder="1" applyAlignment="1" applyProtection="1">
      <alignment horizontal="left" vertical="top" wrapText="1"/>
      <protection locked="0"/>
    </xf>
    <xf numFmtId="0" fontId="62" fillId="2" borderId="79" xfId="0" applyFont="1" applyFill="1" applyBorder="1" applyAlignment="1" applyProtection="1">
      <alignment horizontal="left" vertical="top" wrapText="1"/>
      <protection locked="0"/>
    </xf>
    <xf numFmtId="0" fontId="62" fillId="2" borderId="80" xfId="0" applyFont="1" applyFill="1" applyBorder="1" applyAlignment="1" applyProtection="1">
      <alignment horizontal="left" vertical="top" wrapText="1"/>
      <protection locked="0"/>
    </xf>
    <xf numFmtId="0" fontId="4" fillId="3" borderId="71" xfId="0" applyFont="1" applyFill="1" applyBorder="1" applyAlignment="1">
      <alignment horizontal="left" vertical="center" wrapText="1" indent="1"/>
    </xf>
    <xf numFmtId="0" fontId="7" fillId="13" borderId="76" xfId="0" applyFont="1" applyFill="1" applyBorder="1" applyAlignment="1">
      <alignment horizontal="left" vertical="top" wrapText="1"/>
    </xf>
    <xf numFmtId="0" fontId="0" fillId="0" borderId="76" xfId="0" applyBorder="1" applyAlignment="1">
      <alignment horizontal="left" vertical="top" wrapText="1"/>
    </xf>
    <xf numFmtId="0" fontId="0" fillId="0" borderId="30" xfId="0" applyBorder="1" applyAlignment="1">
      <alignment horizontal="left" vertical="top" wrapText="1"/>
    </xf>
    <xf numFmtId="0" fontId="7" fillId="13" borderId="80" xfId="0" applyFont="1" applyFill="1" applyBorder="1" applyAlignment="1">
      <alignment horizontal="left" vertical="top" wrapText="1"/>
    </xf>
    <xf numFmtId="0" fontId="3" fillId="13" borderId="80" xfId="0" applyFont="1" applyFill="1" applyBorder="1" applyAlignment="1">
      <alignment horizontal="left" vertical="top"/>
    </xf>
    <xf numFmtId="0" fontId="7" fillId="14" borderId="76" xfId="0" applyFont="1" applyFill="1" applyBorder="1" applyAlignment="1">
      <alignment horizontal="left" vertical="top" wrapText="1"/>
    </xf>
    <xf numFmtId="0" fontId="32" fillId="14" borderId="76" xfId="0" applyFont="1" applyFill="1" applyBorder="1" applyAlignment="1">
      <alignment horizontal="left" vertical="top" wrapText="1"/>
    </xf>
    <xf numFmtId="0" fontId="46" fillId="20" borderId="71" xfId="0" applyFont="1" applyFill="1" applyBorder="1" applyAlignment="1">
      <alignment horizontal="left"/>
    </xf>
    <xf numFmtId="0" fontId="6" fillId="13" borderId="79" xfId="0" applyFont="1" applyFill="1" applyBorder="1" applyAlignment="1">
      <alignment horizontal="left" vertical="top" wrapText="1"/>
    </xf>
    <xf numFmtId="0" fontId="3" fillId="13" borderId="79" xfId="0" applyFont="1" applyFill="1" applyBorder="1" applyAlignment="1">
      <alignment horizontal="left" vertical="top"/>
    </xf>
    <xf numFmtId="0" fontId="6" fillId="14" borderId="74" xfId="0" applyFont="1" applyFill="1" applyBorder="1" applyAlignment="1">
      <alignment horizontal="left" vertical="top" wrapText="1"/>
    </xf>
    <xf numFmtId="0" fontId="0" fillId="0" borderId="74" xfId="0" applyBorder="1" applyAlignment="1">
      <alignment horizontal="left" vertical="top" wrapText="1"/>
    </xf>
    <xf numFmtId="0" fontId="0" fillId="0" borderId="84" xfId="0" applyBorder="1" applyAlignment="1">
      <alignment horizontal="left" vertical="top" wrapText="1"/>
    </xf>
    <xf numFmtId="0" fontId="2" fillId="13" borderId="0" xfId="0" applyFont="1" applyFill="1" applyAlignment="1">
      <alignment horizontal="right" wrapText="1" indent="1"/>
    </xf>
    <xf numFmtId="0" fontId="0" fillId="13" borderId="0" xfId="0" applyFill="1" applyAlignment="1">
      <alignment horizontal="right" indent="1"/>
    </xf>
    <xf numFmtId="0" fontId="3" fillId="13" borderId="1" xfId="0" applyFont="1" applyFill="1" applyBorder="1" applyAlignment="1">
      <alignment horizontal="right" indent="1"/>
    </xf>
    <xf numFmtId="0" fontId="43" fillId="14" borderId="71" xfId="0" applyFont="1" applyFill="1" applyBorder="1" applyAlignment="1">
      <alignment horizontal="left" vertical="top" wrapText="1" indent="1"/>
    </xf>
    <xf numFmtId="0" fontId="45" fillId="3" borderId="71" xfId="0" applyFont="1" applyFill="1" applyBorder="1" applyAlignment="1">
      <alignment horizontal="left" vertical="top" wrapText="1" indent="1"/>
    </xf>
    <xf numFmtId="0" fontId="43" fillId="3" borderId="71" xfId="0" applyFont="1" applyFill="1" applyBorder="1" applyAlignment="1">
      <alignment horizontal="left" vertical="top" wrapText="1" indent="1"/>
    </xf>
    <xf numFmtId="0" fontId="46" fillId="21" borderId="71" xfId="0" applyFont="1" applyFill="1" applyBorder="1" applyAlignment="1">
      <alignment horizontal="left"/>
    </xf>
    <xf numFmtId="0" fontId="6" fillId="13" borderId="80" xfId="0" applyFont="1" applyFill="1" applyBorder="1" applyAlignment="1">
      <alignment horizontal="left" vertical="top" wrapText="1"/>
    </xf>
    <xf numFmtId="6" fontId="47" fillId="13" borderId="81" xfId="0" applyNumberFormat="1" applyFont="1" applyFill="1" applyBorder="1" applyAlignment="1">
      <alignment horizontal="left" vertical="top" wrapText="1"/>
    </xf>
    <xf numFmtId="0" fontId="51" fillId="0" borderId="81" xfId="0" applyFont="1" applyBorder="1" applyAlignment="1">
      <alignment horizontal="left" vertical="top" wrapText="1"/>
    </xf>
    <xf numFmtId="0" fontId="0" fillId="0" borderId="79" xfId="0" applyBorder="1" applyAlignment="1">
      <alignment horizontal="left" vertical="top" wrapText="1"/>
    </xf>
    <xf numFmtId="0" fontId="0" fillId="0" borderId="80" xfId="0" applyBorder="1" applyAlignment="1">
      <alignment horizontal="left" vertical="top" wrapText="1"/>
    </xf>
    <xf numFmtId="6" fontId="47" fillId="13" borderId="80" xfId="0" applyNumberFormat="1" applyFont="1" applyFill="1" applyBorder="1" applyAlignment="1">
      <alignment horizontal="left" vertical="top" wrapText="1"/>
    </xf>
    <xf numFmtId="0" fontId="51" fillId="0" borderId="80" xfId="0" applyFont="1" applyBorder="1" applyAlignment="1">
      <alignment horizontal="left" vertical="top" wrapText="1"/>
    </xf>
    <xf numFmtId="0" fontId="33" fillId="13" borderId="71" xfId="0" applyFont="1" applyFill="1" applyBorder="1" applyAlignment="1">
      <alignment horizontal="center"/>
    </xf>
    <xf numFmtId="0" fontId="4" fillId="3" borderId="76" xfId="0" applyFont="1" applyFill="1" applyBorder="1" applyAlignment="1">
      <alignment horizontal="left"/>
    </xf>
    <xf numFmtId="0" fontId="0" fillId="0" borderId="76" xfId="0" applyBorder="1" applyAlignment="1">
      <alignment horizontal="left"/>
    </xf>
    <xf numFmtId="0" fontId="4" fillId="3" borderId="74" xfId="0" applyFont="1" applyFill="1" applyBorder="1" applyAlignment="1">
      <alignment horizontal="left"/>
    </xf>
    <xf numFmtId="0" fontId="0" fillId="0" borderId="74" xfId="0" applyBorder="1" applyAlignment="1">
      <alignment horizontal="left"/>
    </xf>
    <xf numFmtId="0" fontId="4" fillId="3" borderId="7" xfId="0" applyFont="1" applyFill="1" applyBorder="1" applyAlignment="1">
      <alignment horizontal="left"/>
    </xf>
    <xf numFmtId="0" fontId="25" fillId="4" borderId="75" xfId="0" applyFont="1" applyFill="1" applyBorder="1" applyAlignment="1">
      <alignment vertical="top" wrapText="1"/>
    </xf>
    <xf numFmtId="0" fontId="3" fillId="0" borderId="76" xfId="0" applyFont="1" applyBorder="1"/>
    <xf numFmtId="0" fontId="19" fillId="3" borderId="72" xfId="0" applyFont="1" applyFill="1" applyBorder="1" applyAlignment="1">
      <alignment horizontal="left" vertical="center" readingOrder="1"/>
    </xf>
    <xf numFmtId="0" fontId="3" fillId="0" borderId="18" xfId="0" applyFont="1" applyBorder="1"/>
    <xf numFmtId="0" fontId="3" fillId="0" borderId="66" xfId="0" applyFont="1" applyBorder="1"/>
    <xf numFmtId="0" fontId="4" fillId="3" borderId="72" xfId="0" applyFont="1" applyFill="1" applyBorder="1" applyAlignment="1">
      <alignment horizontal="left" vertical="center" wrapText="1"/>
    </xf>
    <xf numFmtId="0" fontId="12" fillId="3" borderId="53" xfId="0" applyFont="1" applyFill="1" applyBorder="1" applyAlignment="1">
      <alignment vertical="top" wrapText="1"/>
    </xf>
    <xf numFmtId="0" fontId="3" fillId="0" borderId="55" xfId="0" applyFont="1" applyBorder="1"/>
    <xf numFmtId="0" fontId="12" fillId="3" borderId="75" xfId="0" applyFont="1" applyFill="1" applyBorder="1" applyAlignment="1">
      <alignment vertical="top" wrapText="1"/>
    </xf>
    <xf numFmtId="0" fontId="12" fillId="4" borderId="75" xfId="0" applyFont="1" applyFill="1" applyBorder="1" applyAlignment="1">
      <alignment vertical="top" wrapText="1"/>
    </xf>
    <xf numFmtId="0" fontId="12" fillId="4" borderId="76" xfId="0" applyFont="1" applyFill="1" applyBorder="1" applyAlignment="1">
      <alignment horizontal="left" vertical="top" wrapText="1"/>
    </xf>
    <xf numFmtId="0" fontId="6" fillId="24" borderId="7" xfId="0" applyFont="1" applyFill="1" applyBorder="1" applyAlignment="1">
      <alignment horizontal="right"/>
    </xf>
    <xf numFmtId="0" fontId="0" fillId="13" borderId="0" xfId="0" applyFill="1" applyAlignment="1">
      <alignment horizontal="right"/>
    </xf>
    <xf numFmtId="0" fontId="6" fillId="24" borderId="79" xfId="0" applyFont="1" applyFill="1" applyBorder="1" applyAlignment="1">
      <alignment horizontal="right"/>
    </xf>
    <xf numFmtId="0" fontId="0" fillId="13" borderId="79" xfId="0" applyFill="1" applyBorder="1" applyAlignment="1">
      <alignment horizontal="right"/>
    </xf>
    <xf numFmtId="0" fontId="4" fillId="4" borderId="7" xfId="0" applyFont="1" applyFill="1" applyBorder="1" applyAlignment="1">
      <alignment horizontal="left"/>
    </xf>
    <xf numFmtId="0" fontId="0" fillId="0" borderId="0" xfId="0" applyAlignment="1">
      <alignment horizontal="left"/>
    </xf>
    <xf numFmtId="0" fontId="4" fillId="3" borderId="71" xfId="0" applyFont="1" applyFill="1" applyBorder="1" applyAlignment="1">
      <alignment horizontal="left"/>
    </xf>
    <xf numFmtId="0" fontId="4" fillId="2" borderId="75" xfId="0" applyFont="1" applyFill="1" applyBorder="1" applyAlignment="1" applyProtection="1">
      <alignment horizontal="left" vertical="top" wrapText="1"/>
      <protection locked="0"/>
    </xf>
    <xf numFmtId="0" fontId="3" fillId="0" borderId="11" xfId="0" applyFont="1" applyBorder="1" applyProtection="1">
      <protection locked="0"/>
    </xf>
    <xf numFmtId="0" fontId="3" fillId="0" borderId="76" xfId="0" applyFont="1" applyBorder="1" applyProtection="1">
      <protection locked="0"/>
    </xf>
    <xf numFmtId="0" fontId="8" fillId="2" borderId="42" xfId="0" applyFont="1" applyFill="1" applyBorder="1" applyAlignment="1" applyProtection="1">
      <alignment horizontal="left" vertical="top" wrapText="1"/>
      <protection locked="0"/>
    </xf>
    <xf numFmtId="0" fontId="3" fillId="0" borderId="60" xfId="0" applyFont="1" applyBorder="1" applyProtection="1">
      <protection locked="0"/>
    </xf>
    <xf numFmtId="0" fontId="3" fillId="0" borderId="61" xfId="0" applyFont="1" applyBorder="1" applyProtection="1">
      <protection locked="0"/>
    </xf>
    <xf numFmtId="0" fontId="8" fillId="2" borderId="45" xfId="0" applyFont="1" applyFill="1" applyBorder="1" applyAlignment="1" applyProtection="1">
      <alignment horizontal="left" vertical="top" wrapText="1"/>
      <protection locked="0"/>
    </xf>
    <xf numFmtId="0" fontId="3" fillId="0" borderId="62" xfId="0" applyFont="1" applyBorder="1" applyProtection="1">
      <protection locked="0"/>
    </xf>
    <xf numFmtId="0" fontId="3" fillId="0" borderId="63" xfId="0" applyFont="1" applyBorder="1" applyProtection="1">
      <protection locked="0"/>
    </xf>
    <xf numFmtId="0" fontId="4" fillId="2" borderId="53" xfId="0" applyFont="1" applyFill="1" applyBorder="1" applyAlignment="1" applyProtection="1">
      <alignment horizontal="left" vertical="top" wrapText="1"/>
      <protection locked="0"/>
    </xf>
    <xf numFmtId="0" fontId="3" fillId="0" borderId="54" xfId="0" applyFont="1" applyBorder="1" applyProtection="1">
      <protection locked="0"/>
    </xf>
    <xf numFmtId="0" fontId="3" fillId="0" borderId="55" xfId="0" applyFont="1" applyBorder="1" applyProtection="1">
      <protection locked="0"/>
    </xf>
    <xf numFmtId="0" fontId="16" fillId="16" borderId="7" xfId="0" applyFont="1" applyFill="1" applyBorder="1" applyAlignment="1">
      <alignment horizontal="left" vertical="center"/>
    </xf>
    <xf numFmtId="0" fontId="62" fillId="4" borderId="77" xfId="0" applyFont="1" applyFill="1" applyBorder="1" applyAlignment="1">
      <alignment horizontal="left"/>
    </xf>
    <xf numFmtId="0" fontId="8" fillId="4" borderId="77" xfId="0" applyFont="1" applyFill="1" applyBorder="1" applyAlignment="1">
      <alignment horizontal="left"/>
    </xf>
    <xf numFmtId="0" fontId="19" fillId="3" borderId="71" xfId="0" applyFont="1" applyFill="1" applyBorder="1" applyAlignment="1">
      <alignment horizontal="left" vertical="center" readingOrder="1"/>
    </xf>
    <xf numFmtId="0" fontId="4" fillId="3" borderId="71" xfId="0" applyFont="1" applyFill="1" applyBorder="1" applyAlignment="1">
      <alignment horizontal="left" vertical="center" wrapText="1"/>
    </xf>
    <xf numFmtId="0" fontId="0" fillId="0" borderId="71" xfId="0" applyBorder="1" applyAlignment="1">
      <alignment horizontal="left"/>
    </xf>
    <xf numFmtId="0" fontId="4" fillId="3" borderId="66" xfId="0" applyFont="1" applyFill="1" applyBorder="1" applyAlignment="1">
      <alignment horizontal="left"/>
    </xf>
    <xf numFmtId="0" fontId="0" fillId="0" borderId="66" xfId="0" applyBorder="1" applyAlignment="1">
      <alignment horizontal="left"/>
    </xf>
    <xf numFmtId="0" fontId="4" fillId="3" borderId="80" xfId="0" applyFont="1" applyFill="1" applyBorder="1" applyAlignment="1">
      <alignment horizontal="left"/>
    </xf>
    <xf numFmtId="0" fontId="0" fillId="0" borderId="80" xfId="0" applyBorder="1" applyAlignment="1">
      <alignment horizontal="left"/>
    </xf>
    <xf numFmtId="0" fontId="4" fillId="3" borderId="81" xfId="0" applyFont="1" applyFill="1" applyBorder="1" applyAlignment="1">
      <alignment horizontal="left"/>
    </xf>
    <xf numFmtId="0" fontId="0" fillId="0" borderId="81" xfId="0" applyBorder="1" applyAlignment="1">
      <alignment horizontal="left"/>
    </xf>
    <xf numFmtId="0" fontId="4" fillId="3" borderId="79" xfId="0" applyFont="1" applyFill="1" applyBorder="1" applyAlignment="1">
      <alignment horizontal="left"/>
    </xf>
    <xf numFmtId="0" fontId="0" fillId="0" borderId="79" xfId="0" applyBorder="1" applyAlignment="1">
      <alignment horizontal="left"/>
    </xf>
    <xf numFmtId="0" fontId="8" fillId="2" borderId="49" xfId="0" applyFont="1" applyFill="1" applyBorder="1" applyAlignment="1" applyProtection="1">
      <alignment horizontal="left" vertical="top" wrapText="1"/>
      <protection locked="0"/>
    </xf>
    <xf numFmtId="0" fontId="3" fillId="0" borderId="64" xfId="0" applyFont="1" applyBorder="1" applyProtection="1">
      <protection locked="0"/>
    </xf>
    <xf numFmtId="0" fontId="3" fillId="0" borderId="65" xfId="0" applyFont="1" applyBorder="1" applyProtection="1">
      <protection locked="0"/>
    </xf>
    <xf numFmtId="0" fontId="8" fillId="2" borderId="68" xfId="0" applyFont="1" applyFill="1" applyBorder="1" applyAlignment="1" applyProtection="1">
      <alignment horizontal="left" vertical="top" wrapText="1"/>
      <protection locked="0"/>
    </xf>
    <xf numFmtId="0" fontId="3" fillId="0" borderId="69" xfId="0" applyFont="1" applyBorder="1" applyProtection="1">
      <protection locked="0"/>
    </xf>
    <xf numFmtId="0" fontId="3" fillId="0" borderId="70" xfId="0" applyFont="1" applyBorder="1" applyProtection="1">
      <protection locked="0"/>
    </xf>
    <xf numFmtId="0" fontId="4" fillId="4" borderId="45" xfId="0" applyFont="1" applyFill="1" applyBorder="1" applyAlignment="1">
      <alignment horizontal="right" vertical="center"/>
    </xf>
    <xf numFmtId="0" fontId="3" fillId="0" borderId="46" xfId="0" applyFont="1" applyBorder="1"/>
    <xf numFmtId="0" fontId="7" fillId="4" borderId="47" xfId="0" applyFont="1" applyFill="1" applyBorder="1" applyAlignment="1">
      <alignment vertical="center"/>
    </xf>
    <xf numFmtId="0" fontId="3" fillId="0" borderId="6" xfId="0" applyFont="1" applyBorder="1"/>
    <xf numFmtId="0" fontId="57" fillId="4" borderId="49" xfId="0" applyFont="1" applyFill="1" applyBorder="1" applyAlignment="1">
      <alignment horizontal="left" vertical="top" wrapText="1"/>
    </xf>
    <xf numFmtId="0" fontId="3" fillId="0" borderId="50" xfId="0" applyFont="1" applyBorder="1"/>
    <xf numFmtId="0" fontId="3" fillId="0" borderId="51" xfId="0" applyFont="1" applyBorder="1"/>
    <xf numFmtId="0" fontId="3" fillId="0" borderId="52" xfId="0" applyFont="1" applyBorder="1"/>
    <xf numFmtId="0" fontId="2" fillId="3" borderId="53" xfId="0" applyFont="1" applyFill="1" applyBorder="1" applyAlignment="1">
      <alignment horizontal="left" vertical="center" wrapText="1"/>
    </xf>
    <xf numFmtId="0" fontId="3" fillId="0" borderId="54" xfId="0" applyFont="1" applyBorder="1"/>
    <xf numFmtId="0" fontId="8" fillId="2" borderId="39" xfId="0" applyFont="1" applyFill="1" applyBorder="1" applyAlignment="1" applyProtection="1">
      <alignment horizontal="left" vertical="top" wrapText="1"/>
      <protection locked="0"/>
    </xf>
    <xf numFmtId="0" fontId="3" fillId="0" borderId="3" xfId="0" applyFont="1" applyBorder="1" applyProtection="1">
      <protection locked="0"/>
    </xf>
    <xf numFmtId="0" fontId="3" fillId="0" borderId="4" xfId="0" applyFont="1" applyBorder="1" applyProtection="1">
      <protection locked="0"/>
    </xf>
    <xf numFmtId="0" fontId="4" fillId="3" borderId="14" xfId="0" applyFont="1" applyFill="1" applyBorder="1" applyAlignment="1">
      <alignment horizontal="right" vertical="center" wrapText="1"/>
    </xf>
    <xf numFmtId="0" fontId="3" fillId="0" borderId="15" xfId="0" applyFont="1" applyBorder="1"/>
    <xf numFmtId="0" fontId="6" fillId="3" borderId="16" xfId="0" applyFont="1" applyFill="1" applyBorder="1" applyAlignment="1">
      <alignment horizontal="right" vertical="center" wrapText="1"/>
    </xf>
    <xf numFmtId="0" fontId="3" fillId="0" borderId="17" xfId="0" applyFont="1" applyBorder="1"/>
    <xf numFmtId="0" fontId="3" fillId="0" borderId="16" xfId="0" applyFont="1" applyBorder="1"/>
    <xf numFmtId="0" fontId="3" fillId="0" borderId="19" xfId="0" applyFont="1" applyBorder="1"/>
    <xf numFmtId="0" fontId="3" fillId="0" borderId="20" xfId="0" applyFont="1" applyBorder="1"/>
    <xf numFmtId="0" fontId="33" fillId="4" borderId="22" xfId="0" applyFont="1" applyFill="1" applyBorder="1" applyAlignment="1">
      <alignment horizontal="center" vertical="center" wrapText="1"/>
    </xf>
    <xf numFmtId="0" fontId="3" fillId="0" borderId="23" xfId="0" applyFont="1" applyBorder="1"/>
    <xf numFmtId="164" fontId="7" fillId="4" borderId="18" xfId="0" applyNumberFormat="1" applyFont="1" applyFill="1" applyBorder="1" applyAlignment="1">
      <alignment horizontal="left" vertical="center" wrapText="1"/>
    </xf>
    <xf numFmtId="0" fontId="3" fillId="0" borderId="21" xfId="0" applyFont="1" applyBorder="1"/>
    <xf numFmtId="0" fontId="2" fillId="4" borderId="5" xfId="0" applyFont="1" applyFill="1" applyBorder="1" applyAlignment="1">
      <alignment horizontal="center" vertical="center" wrapText="1"/>
    </xf>
    <xf numFmtId="0" fontId="3" fillId="0" borderId="25" xfId="0" applyFont="1" applyBorder="1"/>
    <xf numFmtId="0" fontId="2" fillId="4" borderId="24" xfId="0" applyFont="1" applyFill="1" applyBorder="1" applyAlignment="1">
      <alignment horizontal="center" vertical="center"/>
    </xf>
    <xf numFmtId="0" fontId="3" fillId="0" borderId="28" xfId="0" applyFont="1" applyBorder="1"/>
    <xf numFmtId="0" fontId="3" fillId="0" borderId="33" xfId="0" applyFont="1" applyBorder="1"/>
    <xf numFmtId="0" fontId="2" fillId="0" borderId="5" xfId="0" applyFont="1" applyBorder="1" applyAlignment="1">
      <alignment horizontal="center" vertical="center"/>
    </xf>
    <xf numFmtId="9" fontId="17" fillId="4" borderId="34" xfId="0" applyNumberFormat="1" applyFont="1" applyFill="1" applyBorder="1" applyAlignment="1">
      <alignment horizontal="center" vertical="center"/>
    </xf>
    <xf numFmtId="0" fontId="3" fillId="0" borderId="35" xfId="0" applyFont="1" applyBorder="1"/>
    <xf numFmtId="165" fontId="4" fillId="3" borderId="37" xfId="0" applyNumberFormat="1" applyFont="1" applyFill="1" applyBorder="1" applyAlignment="1">
      <alignment horizontal="right" vertical="center"/>
    </xf>
    <xf numFmtId="0" fontId="3" fillId="0" borderId="38" xfId="0" applyFont="1" applyBorder="1"/>
    <xf numFmtId="165" fontId="4" fillId="3" borderId="39" xfId="0" applyNumberFormat="1" applyFont="1" applyFill="1" applyBorder="1" applyAlignment="1">
      <alignment horizontal="right" vertical="center"/>
    </xf>
    <xf numFmtId="0" fontId="3" fillId="0" borderId="40" xfId="0" applyFont="1" applyBorder="1"/>
    <xf numFmtId="165" fontId="4" fillId="3" borderId="42" xfId="0" applyNumberFormat="1" applyFont="1" applyFill="1" applyBorder="1" applyAlignment="1">
      <alignment horizontal="right" vertical="center"/>
    </xf>
    <xf numFmtId="0" fontId="3" fillId="0" borderId="43" xfId="0" applyFont="1" applyBorder="1"/>
    <xf numFmtId="6" fontId="4" fillId="4" borderId="45" xfId="0" applyNumberFormat="1" applyFont="1" applyFill="1" applyBorder="1" applyAlignment="1">
      <alignment horizontal="right" vertical="center" wrapText="1"/>
    </xf>
    <xf numFmtId="0" fontId="2" fillId="4" borderId="22" xfId="0" applyFont="1" applyFill="1" applyBorder="1" applyAlignment="1">
      <alignment horizontal="center" vertical="center" wrapText="1"/>
    </xf>
    <xf numFmtId="0" fontId="18" fillId="4" borderId="49" xfId="0" applyFont="1" applyFill="1" applyBorder="1" applyAlignment="1">
      <alignment horizontal="left" vertical="top" wrapText="1"/>
    </xf>
    <xf numFmtId="0" fontId="12" fillId="4" borderId="75" xfId="0" applyFont="1" applyFill="1" applyBorder="1" applyAlignment="1">
      <alignment horizontal="left" vertical="top" wrapText="1"/>
    </xf>
    <xf numFmtId="0" fontId="36" fillId="3" borderId="76" xfId="0" applyFont="1" applyFill="1" applyBorder="1" applyAlignment="1">
      <alignment horizontal="left" vertical="top" wrapText="1"/>
    </xf>
    <xf numFmtId="0" fontId="12" fillId="3" borderId="76" xfId="0" applyFont="1" applyFill="1" applyBorder="1" applyAlignment="1">
      <alignment horizontal="left" vertical="top" wrapText="1"/>
    </xf>
    <xf numFmtId="0" fontId="34" fillId="3" borderId="15" xfId="0" applyFont="1" applyFill="1" applyBorder="1" applyAlignment="1">
      <alignment horizontal="right" vertical="center" wrapText="1"/>
    </xf>
    <xf numFmtId="0" fontId="6" fillId="3" borderId="71" xfId="0" applyFont="1" applyFill="1" applyBorder="1" applyAlignment="1">
      <alignment horizontal="right" vertical="center" wrapText="1"/>
    </xf>
    <xf numFmtId="0" fontId="3" fillId="0" borderId="71" xfId="0" applyFont="1" applyBorder="1"/>
  </cellXfs>
  <cellStyles count="1">
    <cellStyle name="Normal" xfId="0" builtinId="0"/>
  </cellStyles>
  <dxfs count="0"/>
  <tableStyles count="0" defaultTableStyle="TableStyleMedium2" defaultPivotStyle="PivotStyleLight16"/>
  <colors>
    <mruColors>
      <color rgb="FFD3E5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19050</xdr:colOff>
      <xdr:row>32</xdr:row>
      <xdr:rowOff>47625</xdr:rowOff>
    </xdr:from>
    <xdr:ext cx="5286376" cy="1066800"/>
    <xdr:pic>
      <xdr:nvPicPr>
        <xdr:cNvPr id="2" name="image3.png">
          <a:extLst>
            <a:ext uri="{FF2B5EF4-FFF2-40B4-BE49-F238E27FC236}">
              <a16:creationId xmlns:a16="http://schemas.microsoft.com/office/drawing/2014/main" id="{00000000-0008-0000-0100-000002000000}"/>
            </a:ext>
          </a:extLst>
        </xdr:cNvPr>
        <xdr:cNvPicPr preferRelativeResize="0"/>
      </xdr:nvPicPr>
      <xdr:blipFill rotWithShape="1">
        <a:blip xmlns:r="http://schemas.openxmlformats.org/officeDocument/2006/relationships" r:embed="rId1" cstate="print"/>
        <a:srcRect l="12608" b="14634"/>
        <a:stretch/>
      </xdr:blipFill>
      <xdr:spPr>
        <a:xfrm>
          <a:off x="19050" y="9163050"/>
          <a:ext cx="5286376" cy="1066800"/>
        </a:xfrm>
        <a:prstGeom prst="rect">
          <a:avLst/>
        </a:prstGeom>
        <a:noFill/>
        <a:ln>
          <a:solidFill>
            <a:sysClr val="windowText" lastClr="000000"/>
          </a:solidFill>
        </a:ln>
      </xdr:spPr>
    </xdr:pic>
    <xdr:clientData fLocksWithSheet="0"/>
  </xdr:oneCellAnchor>
  <xdr:oneCellAnchor>
    <xdr:from>
      <xdr:col>0</xdr:col>
      <xdr:colOff>28575</xdr:colOff>
      <xdr:row>36</xdr:row>
      <xdr:rowOff>38101</xdr:rowOff>
    </xdr:from>
    <xdr:ext cx="6210300" cy="1238249"/>
    <xdr:pic>
      <xdr:nvPicPr>
        <xdr:cNvPr id="3" name="image1.png">
          <a:extLst>
            <a:ext uri="{FF2B5EF4-FFF2-40B4-BE49-F238E27FC236}">
              <a16:creationId xmlns:a16="http://schemas.microsoft.com/office/drawing/2014/main" id="{00000000-0008-0000-0100-000003000000}"/>
            </a:ext>
          </a:extLst>
        </xdr:cNvPr>
        <xdr:cNvPicPr preferRelativeResize="0"/>
      </xdr:nvPicPr>
      <xdr:blipFill rotWithShape="1">
        <a:blip xmlns:r="http://schemas.openxmlformats.org/officeDocument/2006/relationships" r:embed="rId2" cstate="print"/>
        <a:srcRect b="12751"/>
        <a:stretch/>
      </xdr:blipFill>
      <xdr:spPr>
        <a:xfrm>
          <a:off x="28575" y="10906126"/>
          <a:ext cx="6210300" cy="1238249"/>
        </a:xfrm>
        <a:prstGeom prst="rect">
          <a:avLst/>
        </a:prstGeom>
        <a:noFill/>
        <a:ln>
          <a:solidFill>
            <a:sysClr val="windowText" lastClr="000000"/>
          </a:solidFill>
        </a:ln>
      </xdr:spPr>
    </xdr:pic>
    <xdr:clientData fLocksWithSheet="0"/>
  </xdr:oneCellAnchor>
  <xdr:oneCellAnchor>
    <xdr:from>
      <xdr:col>4</xdr:col>
      <xdr:colOff>19050</xdr:colOff>
      <xdr:row>36</xdr:row>
      <xdr:rowOff>38101</xdr:rowOff>
    </xdr:from>
    <xdr:ext cx="6181725" cy="1219199"/>
    <xdr:pic>
      <xdr:nvPicPr>
        <xdr:cNvPr id="4" name="image2.png">
          <a:extLst>
            <a:ext uri="{FF2B5EF4-FFF2-40B4-BE49-F238E27FC236}">
              <a16:creationId xmlns:a16="http://schemas.microsoft.com/office/drawing/2014/main" id="{00000000-0008-0000-0100-000004000000}"/>
            </a:ext>
          </a:extLst>
        </xdr:cNvPr>
        <xdr:cNvPicPr preferRelativeResize="0"/>
      </xdr:nvPicPr>
      <xdr:blipFill rotWithShape="1">
        <a:blip xmlns:r="http://schemas.openxmlformats.org/officeDocument/2006/relationships" r:embed="rId3" cstate="print"/>
        <a:srcRect b="12924"/>
        <a:stretch/>
      </xdr:blipFill>
      <xdr:spPr>
        <a:xfrm>
          <a:off x="7172325" y="10906126"/>
          <a:ext cx="6181725" cy="1219199"/>
        </a:xfrm>
        <a:prstGeom prst="rect">
          <a:avLst/>
        </a:prstGeom>
        <a:noFill/>
        <a:ln>
          <a:solidFill>
            <a:sysClr val="windowText" lastClr="000000"/>
          </a:solidFill>
        </a:ln>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010"/>
  <sheetViews>
    <sheetView tabSelected="1" zoomScale="85" zoomScaleNormal="85" workbookViewId="0">
      <selection activeCell="G1" sqref="G1"/>
    </sheetView>
  </sheetViews>
  <sheetFormatPr baseColWidth="10" defaultColWidth="14.44140625" defaultRowHeight="15" customHeight="1"/>
  <cols>
    <col min="1" max="3" width="31.77734375" customWidth="1"/>
    <col min="4" max="4" width="11.77734375" bestFit="1" customWidth="1"/>
    <col min="5" max="7" width="31.77734375" customWidth="1"/>
    <col min="8" max="10" width="10.77734375" customWidth="1"/>
  </cols>
  <sheetData>
    <row r="1" spans="1:11" ht="15" customHeight="1">
      <c r="A1" s="142"/>
      <c r="B1" s="142"/>
      <c r="C1" s="142"/>
      <c r="D1" s="293" t="s">
        <v>0</v>
      </c>
      <c r="E1" s="294"/>
      <c r="F1" s="295"/>
      <c r="G1" s="193"/>
    </row>
    <row r="2" spans="1:11" ht="15" customHeight="1">
      <c r="A2" s="142"/>
      <c r="B2" s="142"/>
      <c r="C2" s="142"/>
      <c r="D2" s="142"/>
      <c r="E2" s="142"/>
      <c r="F2" s="142"/>
      <c r="G2" s="142"/>
    </row>
    <row r="3" spans="1:11" ht="25.8">
      <c r="A3" s="252" t="s">
        <v>176</v>
      </c>
      <c r="B3" s="253"/>
      <c r="C3" s="253"/>
      <c r="D3" s="252"/>
      <c r="E3" s="253"/>
      <c r="F3" s="253"/>
      <c r="G3" s="252"/>
    </row>
    <row r="4" spans="1:11" ht="60" customHeight="1">
      <c r="A4" s="265" t="s">
        <v>1</v>
      </c>
      <c r="B4" s="265"/>
      <c r="C4" s="265"/>
      <c r="D4" s="265"/>
      <c r="E4" s="265"/>
      <c r="F4" s="265"/>
      <c r="G4" s="265"/>
      <c r="H4" s="154"/>
      <c r="I4" s="154"/>
      <c r="J4" s="154"/>
      <c r="K4" s="154"/>
    </row>
    <row r="5" spans="1:11" s="157" customFormat="1" ht="15" customHeight="1">
      <c r="A5" s="155" t="s">
        <v>2</v>
      </c>
      <c r="B5" s="156" t="s">
        <v>188</v>
      </c>
      <c r="C5" s="307" t="s">
        <v>3</v>
      </c>
      <c r="D5" s="307"/>
      <c r="E5" s="156" t="s">
        <v>4</v>
      </c>
      <c r="F5" s="156" t="s">
        <v>5</v>
      </c>
      <c r="G5" s="156" t="s">
        <v>6</v>
      </c>
    </row>
    <row r="6" spans="1:11" s="161" customFormat="1" ht="14.4">
      <c r="A6" s="158" t="s">
        <v>7</v>
      </c>
      <c r="B6" s="158"/>
      <c r="C6" s="158"/>
      <c r="D6" s="159"/>
      <c r="E6" s="160"/>
      <c r="F6" s="160"/>
      <c r="G6" s="160"/>
    </row>
    <row r="7" spans="1:11" ht="61.2">
      <c r="A7" s="162" t="s">
        <v>8</v>
      </c>
      <c r="B7" s="163">
        <v>650</v>
      </c>
      <c r="C7" s="268" t="s">
        <v>177</v>
      </c>
      <c r="D7" s="269"/>
      <c r="E7" s="164">
        <v>0.65</v>
      </c>
      <c r="F7" s="164">
        <v>0.45</v>
      </c>
      <c r="G7" s="165" t="s">
        <v>184</v>
      </c>
    </row>
    <row r="8" spans="1:11" ht="32.4">
      <c r="A8" s="166" t="s">
        <v>9</v>
      </c>
      <c r="B8" s="167" t="s">
        <v>10</v>
      </c>
      <c r="C8" s="300" t="s">
        <v>11</v>
      </c>
      <c r="D8" s="300"/>
      <c r="E8" s="168" t="s">
        <v>185</v>
      </c>
      <c r="F8" s="169">
        <v>0.2</v>
      </c>
      <c r="G8" s="169">
        <v>0.15</v>
      </c>
    </row>
    <row r="9" spans="1:11" ht="18">
      <c r="A9" s="170" t="s">
        <v>12</v>
      </c>
      <c r="B9" s="171">
        <v>250</v>
      </c>
      <c r="C9" s="301" t="s">
        <v>182</v>
      </c>
      <c r="D9" s="302"/>
      <c r="E9" s="172" t="s">
        <v>187</v>
      </c>
      <c r="F9" s="173">
        <v>0.35</v>
      </c>
      <c r="G9" s="173">
        <v>0.35</v>
      </c>
    </row>
    <row r="10" spans="1:11" s="161" customFormat="1" ht="14.4">
      <c r="A10" s="158" t="s">
        <v>13</v>
      </c>
      <c r="B10" s="158"/>
      <c r="C10" s="174"/>
      <c r="D10" s="159"/>
      <c r="E10" s="160"/>
      <c r="F10" s="160"/>
      <c r="G10" s="160"/>
    </row>
    <row r="11" spans="1:11" ht="61.2">
      <c r="A11" s="162" t="s">
        <v>8</v>
      </c>
      <c r="B11" s="163">
        <v>450</v>
      </c>
      <c r="C11" s="268" t="s">
        <v>178</v>
      </c>
      <c r="D11" s="303"/>
      <c r="E11" s="164">
        <v>0.6</v>
      </c>
      <c r="F11" s="164">
        <v>0.45</v>
      </c>
      <c r="G11" s="165" t="s">
        <v>184</v>
      </c>
    </row>
    <row r="12" spans="1:11" ht="32.4">
      <c r="A12" s="166" t="s">
        <v>9</v>
      </c>
      <c r="B12" s="167" t="s">
        <v>10</v>
      </c>
      <c r="C12" s="300" t="s">
        <v>11</v>
      </c>
      <c r="D12" s="304"/>
      <c r="E12" s="175" t="s">
        <v>186</v>
      </c>
      <c r="F12" s="169">
        <v>0.3</v>
      </c>
      <c r="G12" s="169">
        <v>0.25</v>
      </c>
    </row>
    <row r="13" spans="1:11" ht="18">
      <c r="A13" s="166" t="s">
        <v>12</v>
      </c>
      <c r="B13" s="176">
        <v>250</v>
      </c>
      <c r="C13" s="305" t="s">
        <v>183</v>
      </c>
      <c r="D13" s="306"/>
      <c r="E13" s="177" t="s">
        <v>187</v>
      </c>
      <c r="F13" s="168">
        <v>0.25</v>
      </c>
      <c r="G13" s="168">
        <v>0.25</v>
      </c>
    </row>
    <row r="14" spans="1:11" ht="15" customHeight="1">
      <c r="A14" s="270" t="s">
        <v>173</v>
      </c>
      <c r="B14" s="270"/>
      <c r="C14" s="270"/>
      <c r="D14" s="270"/>
      <c r="E14" s="270"/>
      <c r="F14" s="270"/>
      <c r="G14" s="270"/>
      <c r="H14" s="178"/>
      <c r="I14" s="178"/>
      <c r="J14" s="178"/>
    </row>
    <row r="15" spans="1:11" ht="15" customHeight="1">
      <c r="A15" s="270" t="s">
        <v>172</v>
      </c>
      <c r="B15" s="270"/>
      <c r="C15" s="270"/>
      <c r="D15" s="270"/>
      <c r="E15" s="270"/>
      <c r="F15" s="270"/>
      <c r="G15" s="270"/>
      <c r="H15" s="178"/>
      <c r="I15" s="178"/>
      <c r="J15" s="178"/>
    </row>
    <row r="16" spans="1:11" ht="27.75" customHeight="1">
      <c r="A16" s="271" t="s">
        <v>180</v>
      </c>
      <c r="B16" s="271"/>
      <c r="C16" s="271"/>
      <c r="D16" s="271"/>
      <c r="E16" s="271"/>
      <c r="F16" s="271"/>
      <c r="G16" s="271"/>
      <c r="H16" s="178"/>
      <c r="I16" s="178"/>
      <c r="J16" s="178"/>
    </row>
    <row r="17" spans="1:10" ht="14.4">
      <c r="A17" s="271" t="s">
        <v>181</v>
      </c>
      <c r="B17" s="271"/>
      <c r="C17" s="271"/>
      <c r="D17" s="271"/>
      <c r="E17" s="271"/>
      <c r="F17" s="271"/>
      <c r="G17" s="271"/>
      <c r="H17" s="178"/>
      <c r="I17" s="178"/>
      <c r="J17" s="178"/>
    </row>
    <row r="18" spans="1:10" ht="15" customHeight="1">
      <c r="A18" s="142"/>
      <c r="B18" s="142"/>
      <c r="C18" s="142"/>
      <c r="D18" s="142"/>
      <c r="E18" s="142"/>
      <c r="F18" s="142"/>
      <c r="G18" s="142"/>
    </row>
    <row r="19" spans="1:10" ht="25.8">
      <c r="A19" s="252" t="s">
        <v>175</v>
      </c>
      <c r="B19" s="253"/>
      <c r="C19" s="253"/>
      <c r="D19" s="252"/>
      <c r="E19" s="253"/>
      <c r="F19" s="253"/>
      <c r="G19" s="252"/>
    </row>
    <row r="20" spans="1:10" ht="14.4">
      <c r="A20" s="3"/>
      <c r="B20" s="179"/>
      <c r="C20" s="179"/>
      <c r="D20" s="179"/>
      <c r="E20" s="179"/>
      <c r="F20" s="179"/>
      <c r="G20" s="142"/>
    </row>
    <row r="21" spans="1:10" s="161" customFormat="1" ht="14.4">
      <c r="A21" s="158" t="s">
        <v>14</v>
      </c>
      <c r="B21" s="158"/>
      <c r="C21" s="158"/>
      <c r="D21" s="158"/>
      <c r="E21" s="158"/>
      <c r="F21" s="158"/>
      <c r="G21" s="159"/>
    </row>
    <row r="22" spans="1:10" ht="14.4">
      <c r="A22" s="267" t="s">
        <v>155</v>
      </c>
      <c r="B22" s="267"/>
      <c r="C22" s="267"/>
      <c r="D22" s="181"/>
      <c r="E22" s="266" t="s">
        <v>158</v>
      </c>
      <c r="F22" s="266"/>
      <c r="G22" s="266"/>
    </row>
    <row r="23" spans="1:10" ht="14.4">
      <c r="A23" s="267" t="s">
        <v>156</v>
      </c>
      <c r="B23" s="267"/>
      <c r="C23" s="267"/>
      <c r="D23" s="181"/>
      <c r="E23" s="267" t="s">
        <v>159</v>
      </c>
      <c r="F23" s="267"/>
      <c r="G23" s="267"/>
    </row>
    <row r="24" spans="1:10" ht="14.4">
      <c r="A24" s="267" t="s">
        <v>157</v>
      </c>
      <c r="B24" s="267"/>
      <c r="C24" s="267"/>
      <c r="D24" s="181"/>
      <c r="E24" s="267" t="s">
        <v>160</v>
      </c>
      <c r="F24" s="267"/>
      <c r="G24" s="267"/>
    </row>
    <row r="25" spans="1:10" ht="14.4">
      <c r="A25" s="107"/>
      <c r="B25" s="107"/>
      <c r="C25" s="107"/>
      <c r="D25" s="107"/>
      <c r="E25" s="107"/>
      <c r="F25" s="107"/>
    </row>
    <row r="26" spans="1:10" s="161" customFormat="1" ht="14.4">
      <c r="A26" s="158" t="s">
        <v>15</v>
      </c>
      <c r="B26" s="158"/>
      <c r="C26" s="158"/>
      <c r="D26" s="158"/>
      <c r="E26" s="158"/>
      <c r="F26" s="158"/>
      <c r="G26" s="159"/>
    </row>
    <row r="27" spans="1:10" ht="14.4">
      <c r="A27" s="251" t="s">
        <v>16</v>
      </c>
      <c r="B27" s="251"/>
      <c r="C27" s="251"/>
      <c r="D27" s="251"/>
      <c r="E27" s="251"/>
      <c r="F27" s="251"/>
      <c r="G27" s="251"/>
    </row>
    <row r="28" spans="1:10" ht="14.4">
      <c r="A28" s="296" t="s">
        <v>168</v>
      </c>
      <c r="B28" s="296"/>
      <c r="C28" s="296"/>
      <c r="D28" s="182"/>
      <c r="E28" s="296" t="s">
        <v>167</v>
      </c>
      <c r="F28" s="296"/>
      <c r="G28" s="296"/>
    </row>
    <row r="29" spans="1:10" ht="14.4">
      <c r="A29" s="297" t="s">
        <v>161</v>
      </c>
      <c r="B29" s="297"/>
      <c r="C29" s="297"/>
      <c r="D29" s="183"/>
      <c r="E29" s="296"/>
      <c r="F29" s="296"/>
      <c r="G29" s="296"/>
    </row>
    <row r="30" spans="1:10" ht="30" customHeight="1">
      <c r="A30" s="298" t="s">
        <v>162</v>
      </c>
      <c r="B30" s="298"/>
      <c r="C30" s="298"/>
      <c r="D30" s="184"/>
      <c r="E30" s="296"/>
      <c r="F30" s="296"/>
      <c r="G30" s="296"/>
    </row>
    <row r="31" spans="1:10" ht="14.4">
      <c r="A31" s="185"/>
      <c r="B31" s="185"/>
      <c r="C31" s="185"/>
      <c r="D31" s="185"/>
      <c r="E31" s="185"/>
      <c r="F31" s="185"/>
    </row>
    <row r="32" spans="1:10" s="161" customFormat="1" ht="14.4">
      <c r="A32" s="299" t="s">
        <v>174</v>
      </c>
      <c r="B32" s="299"/>
      <c r="C32" s="299"/>
      <c r="D32" s="299"/>
      <c r="E32" s="299"/>
      <c r="F32" s="299"/>
      <c r="G32" s="299"/>
    </row>
    <row r="33" spans="1:7" ht="92.25" customHeight="1">
      <c r="A33" s="186"/>
      <c r="B33" s="186"/>
      <c r="C33" s="186"/>
      <c r="D33" s="186"/>
      <c r="E33" s="186"/>
      <c r="F33" s="186"/>
      <c r="G33" s="142"/>
    </row>
    <row r="34" spans="1:7" ht="15.6">
      <c r="A34" s="186"/>
      <c r="B34" s="186"/>
      <c r="C34" s="186"/>
      <c r="D34" s="186"/>
      <c r="E34" s="186"/>
      <c r="F34" s="186"/>
      <c r="G34" s="142"/>
    </row>
    <row r="35" spans="1:7" s="161" customFormat="1" ht="14.4">
      <c r="A35" s="158" t="s">
        <v>17</v>
      </c>
      <c r="B35" s="158"/>
      <c r="C35" s="158"/>
      <c r="D35" s="158"/>
      <c r="E35" s="158"/>
      <c r="F35" s="158"/>
      <c r="G35" s="159"/>
    </row>
    <row r="36" spans="1:7" ht="14.4">
      <c r="A36" s="256" t="s">
        <v>165</v>
      </c>
      <c r="B36" s="256"/>
      <c r="C36" s="256"/>
      <c r="D36" s="180"/>
      <c r="E36" s="256" t="s">
        <v>164</v>
      </c>
      <c r="F36" s="256"/>
      <c r="G36" s="256"/>
    </row>
    <row r="37" spans="1:7" ht="101.25" customHeight="1">
      <c r="A37" s="185"/>
      <c r="B37" s="185"/>
      <c r="C37" s="185"/>
      <c r="D37" s="185"/>
      <c r="E37" s="255"/>
      <c r="F37" s="255"/>
      <c r="G37" s="255"/>
    </row>
    <row r="38" spans="1:7" ht="48.75" customHeight="1">
      <c r="A38" s="257" t="s">
        <v>163</v>
      </c>
      <c r="B38" s="257"/>
      <c r="C38" s="257"/>
      <c r="D38" s="187"/>
      <c r="E38" s="257" t="s">
        <v>166</v>
      </c>
      <c r="F38" s="257"/>
      <c r="G38" s="257"/>
    </row>
    <row r="39" spans="1:7" ht="14.4">
      <c r="A39" s="185"/>
      <c r="B39" s="185"/>
      <c r="C39" s="185"/>
      <c r="D39" s="185"/>
      <c r="E39" s="185"/>
      <c r="F39" s="185"/>
      <c r="G39" s="142"/>
    </row>
    <row r="40" spans="1:7" s="161" customFormat="1" ht="14.4">
      <c r="A40" s="158" t="s">
        <v>18</v>
      </c>
      <c r="B40" s="158"/>
      <c r="C40" s="158"/>
      <c r="D40" s="158"/>
      <c r="E40" s="158"/>
      <c r="F40" s="158"/>
      <c r="G40" s="159"/>
    </row>
    <row r="41" spans="1:7" ht="15" customHeight="1">
      <c r="A41" s="258" t="s">
        <v>19</v>
      </c>
      <c r="B41" s="258"/>
      <c r="C41" s="258"/>
      <c r="D41" s="188"/>
      <c r="E41" s="259" t="s">
        <v>21</v>
      </c>
      <c r="F41" s="259"/>
      <c r="G41" s="259"/>
    </row>
    <row r="42" spans="1:7" ht="14.4">
      <c r="A42" s="258" t="s">
        <v>20</v>
      </c>
      <c r="B42" s="258"/>
      <c r="C42" s="258"/>
      <c r="D42" s="188"/>
      <c r="E42" s="259"/>
      <c r="F42" s="259"/>
      <c r="G42" s="259"/>
    </row>
    <row r="43" spans="1:7" ht="14.4">
      <c r="A43" s="279" t="s">
        <v>22</v>
      </c>
      <c r="B43" s="279"/>
      <c r="C43" s="279"/>
      <c r="D43" s="189"/>
      <c r="E43" s="189"/>
      <c r="F43" s="189"/>
      <c r="G43" s="142"/>
    </row>
    <row r="44" spans="1:7" ht="14.4">
      <c r="A44" s="141"/>
      <c r="B44" s="141"/>
      <c r="C44" s="141"/>
      <c r="D44" s="141"/>
      <c r="E44" s="141"/>
      <c r="F44" s="141"/>
      <c r="G44" s="142"/>
    </row>
    <row r="45" spans="1:7" ht="14.4">
      <c r="A45" s="254" t="s">
        <v>23</v>
      </c>
      <c r="B45" s="254"/>
      <c r="C45" s="254"/>
      <c r="D45" s="254"/>
      <c r="E45" s="254"/>
      <c r="F45" s="254"/>
      <c r="G45" s="254"/>
    </row>
    <row r="46" spans="1:7" ht="25.5" customHeight="1">
      <c r="A46" s="254" t="s">
        <v>24</v>
      </c>
      <c r="B46" s="254"/>
      <c r="C46" s="254"/>
      <c r="D46" s="254"/>
      <c r="E46" s="254"/>
      <c r="F46" s="254"/>
      <c r="G46" s="254"/>
    </row>
    <row r="47" spans="1:7" ht="25.5" customHeight="1">
      <c r="A47" s="257" t="s">
        <v>169</v>
      </c>
      <c r="B47" s="257"/>
      <c r="C47" s="257"/>
      <c r="D47" s="257"/>
      <c r="E47" s="257"/>
      <c r="F47" s="257"/>
      <c r="G47" s="257"/>
    </row>
    <row r="48" spans="1:7" ht="14.4">
      <c r="A48" s="257" t="s">
        <v>170</v>
      </c>
      <c r="B48" s="257"/>
      <c r="C48" s="257"/>
      <c r="D48" s="257"/>
      <c r="E48" s="257"/>
      <c r="F48" s="257"/>
      <c r="G48" s="257"/>
    </row>
    <row r="49" spans="1:7" ht="14.4">
      <c r="A49" s="257" t="s">
        <v>25</v>
      </c>
      <c r="B49" s="257"/>
      <c r="C49" s="257"/>
      <c r="D49" s="257"/>
      <c r="E49" s="257"/>
      <c r="F49" s="257"/>
      <c r="G49" s="257"/>
    </row>
    <row r="50" spans="1:7" ht="14.25" customHeight="1">
      <c r="A50" s="142"/>
      <c r="B50" s="142"/>
      <c r="C50" s="142"/>
      <c r="D50" s="142"/>
      <c r="E50" s="142"/>
      <c r="F50" s="142"/>
      <c r="G50" s="142"/>
    </row>
    <row r="51" spans="1:7" ht="25.8">
      <c r="A51" s="272" t="s">
        <v>26</v>
      </c>
      <c r="B51" s="272"/>
      <c r="C51" s="272"/>
      <c r="D51" s="272"/>
      <c r="E51" s="272"/>
      <c r="F51" s="272"/>
      <c r="G51" s="272"/>
    </row>
    <row r="52" spans="1:7" ht="14.25" customHeight="1">
      <c r="A52" s="273" t="s">
        <v>171</v>
      </c>
      <c r="B52" s="273"/>
      <c r="C52" s="273"/>
      <c r="D52" s="274"/>
      <c r="E52" s="274"/>
      <c r="F52" s="274"/>
      <c r="G52" s="274"/>
    </row>
    <row r="53" spans="1:7" ht="14.25" customHeight="1">
      <c r="A53" s="142"/>
      <c r="B53" s="142"/>
      <c r="C53" s="142"/>
      <c r="D53" s="142"/>
      <c r="E53" s="142"/>
      <c r="F53" s="142"/>
      <c r="G53" s="142"/>
    </row>
    <row r="54" spans="1:7" ht="14.25" customHeight="1">
      <c r="A54" s="190"/>
      <c r="B54" s="191"/>
      <c r="C54" s="191"/>
      <c r="D54" s="190" t="s">
        <v>27</v>
      </c>
      <c r="E54" s="262" t="s">
        <v>28</v>
      </c>
      <c r="F54" s="262"/>
      <c r="G54" s="262"/>
    </row>
    <row r="55" spans="1:7" ht="30" customHeight="1">
      <c r="A55" s="260" t="s">
        <v>29</v>
      </c>
      <c r="B55" s="260"/>
      <c r="C55" s="261"/>
      <c r="D55" s="192"/>
      <c r="E55" s="263"/>
      <c r="F55" s="264"/>
      <c r="G55" s="264"/>
    </row>
    <row r="56" spans="1:7" ht="30" customHeight="1">
      <c r="A56" s="280" t="s">
        <v>30</v>
      </c>
      <c r="B56" s="281"/>
      <c r="C56" s="282"/>
      <c r="D56" s="192"/>
      <c r="E56" s="249"/>
      <c r="F56" s="250"/>
      <c r="G56" s="250"/>
    </row>
    <row r="57" spans="1:7" ht="30" customHeight="1">
      <c r="A57" s="280" t="s">
        <v>31</v>
      </c>
      <c r="B57" s="281"/>
      <c r="C57" s="282"/>
      <c r="D57" s="192"/>
      <c r="E57" s="249"/>
      <c r="F57" s="250"/>
      <c r="G57" s="250"/>
    </row>
    <row r="58" spans="1:7" ht="30" customHeight="1">
      <c r="A58" s="280" t="s">
        <v>32</v>
      </c>
      <c r="B58" s="281"/>
      <c r="C58" s="282"/>
      <c r="D58" s="192"/>
      <c r="E58" s="249"/>
      <c r="F58" s="250"/>
      <c r="G58" s="250"/>
    </row>
    <row r="59" spans="1:7" ht="30" customHeight="1">
      <c r="A59" s="285" t="s">
        <v>33</v>
      </c>
      <c r="B59" s="281"/>
      <c r="C59" s="282"/>
      <c r="D59" s="192"/>
      <c r="E59" s="249"/>
      <c r="F59" s="250"/>
      <c r="G59" s="250"/>
    </row>
    <row r="60" spans="1:7" ht="30" customHeight="1">
      <c r="A60" s="286" t="s">
        <v>189</v>
      </c>
      <c r="B60" s="281"/>
      <c r="C60" s="282"/>
      <c r="D60" s="192"/>
      <c r="E60" s="249"/>
      <c r="F60" s="250"/>
      <c r="G60" s="250"/>
    </row>
    <row r="61" spans="1:7" ht="30" customHeight="1">
      <c r="A61" s="290" t="s">
        <v>34</v>
      </c>
      <c r="B61" s="291"/>
      <c r="C61" s="292"/>
      <c r="D61" s="192"/>
      <c r="E61" s="275"/>
      <c r="F61" s="276"/>
      <c r="G61" s="276"/>
    </row>
    <row r="62" spans="1:7" ht="14.25" customHeight="1">
      <c r="A62" s="287" t="s">
        <v>35</v>
      </c>
      <c r="B62" s="287"/>
      <c r="C62" s="287"/>
      <c r="D62" s="287"/>
      <c r="E62" s="287"/>
      <c r="F62" s="287"/>
      <c r="G62" s="287"/>
    </row>
    <row r="63" spans="1:7" ht="30" customHeight="1">
      <c r="A63" s="288" t="s">
        <v>36</v>
      </c>
      <c r="B63" s="288"/>
      <c r="C63" s="288"/>
      <c r="D63" s="289"/>
      <c r="E63" s="277"/>
      <c r="F63" s="277"/>
      <c r="G63" s="277"/>
    </row>
    <row r="64" spans="1:7" ht="30" customHeight="1">
      <c r="A64" s="283" t="s">
        <v>37</v>
      </c>
      <c r="B64" s="283"/>
      <c r="C64" s="283"/>
      <c r="D64" s="284"/>
      <c r="E64" s="278"/>
      <c r="F64" s="278"/>
      <c r="G64" s="278"/>
    </row>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row r="1004" ht="15.75" customHeight="1"/>
    <row r="1005" ht="15.75" customHeight="1"/>
    <row r="1006" ht="15.75" customHeight="1"/>
    <row r="1007" ht="15.75" customHeight="1"/>
    <row r="1008" ht="15.75" customHeight="1"/>
    <row r="1009" ht="15.75" customHeight="1"/>
    <row r="1010" ht="15.75" customHeight="1"/>
  </sheetData>
  <sheetProtection algorithmName="SHA-512" hashValue="JZsHVODbO87VHCx31+J5gOUUCUHK5yGeEcXWWxJZV4In4TJgZhqoDxaWhYkmpzynFlQOq3ZEbRMwLO3GBAmTBw==" saltValue="vOj+inZBDHQMSnUeAXs8Sg==" spinCount="100000" sheet="1" objects="1" scenarios="1"/>
  <mergeCells count="63">
    <mergeCell ref="D1:F1"/>
    <mergeCell ref="A17:G17"/>
    <mergeCell ref="A38:C38"/>
    <mergeCell ref="A28:C28"/>
    <mergeCell ref="A29:C29"/>
    <mergeCell ref="A30:C30"/>
    <mergeCell ref="E28:G30"/>
    <mergeCell ref="A32:G32"/>
    <mergeCell ref="C8:D8"/>
    <mergeCell ref="C9:D9"/>
    <mergeCell ref="C11:D11"/>
    <mergeCell ref="C12:D12"/>
    <mergeCell ref="C13:D13"/>
    <mergeCell ref="A14:G14"/>
    <mergeCell ref="A3:G3"/>
    <mergeCell ref="C5:D5"/>
    <mergeCell ref="E61:G61"/>
    <mergeCell ref="E63:G63"/>
    <mergeCell ref="E64:G64"/>
    <mergeCell ref="A43:C43"/>
    <mergeCell ref="A42:C42"/>
    <mergeCell ref="A56:C56"/>
    <mergeCell ref="A57:C57"/>
    <mergeCell ref="A58:C58"/>
    <mergeCell ref="E56:G56"/>
    <mergeCell ref="E57:G57"/>
    <mergeCell ref="A64:D64"/>
    <mergeCell ref="A59:C59"/>
    <mergeCell ref="A60:C60"/>
    <mergeCell ref="A62:G62"/>
    <mergeCell ref="A63:D63"/>
    <mergeCell ref="A61:C61"/>
    <mergeCell ref="A51:G51"/>
    <mergeCell ref="A47:G47"/>
    <mergeCell ref="A48:G48"/>
    <mergeCell ref="A49:G49"/>
    <mergeCell ref="A52:G52"/>
    <mergeCell ref="A4:G4"/>
    <mergeCell ref="E22:G22"/>
    <mergeCell ref="E23:G23"/>
    <mergeCell ref="E24:G24"/>
    <mergeCell ref="A22:C22"/>
    <mergeCell ref="A23:C23"/>
    <mergeCell ref="A24:C24"/>
    <mergeCell ref="C7:D7"/>
    <mergeCell ref="A15:G15"/>
    <mergeCell ref="A16:G16"/>
    <mergeCell ref="E58:G58"/>
    <mergeCell ref="E59:G59"/>
    <mergeCell ref="E60:G60"/>
    <mergeCell ref="A27:G27"/>
    <mergeCell ref="A19:G19"/>
    <mergeCell ref="A45:G45"/>
    <mergeCell ref="A46:G46"/>
    <mergeCell ref="E37:G37"/>
    <mergeCell ref="E36:G36"/>
    <mergeCell ref="A36:C36"/>
    <mergeCell ref="E38:G38"/>
    <mergeCell ref="A41:C41"/>
    <mergeCell ref="E41:G42"/>
    <mergeCell ref="A55:C55"/>
    <mergeCell ref="E54:G54"/>
    <mergeCell ref="E55:G55"/>
  </mergeCells>
  <dataValidations count="3">
    <dataValidation type="list" allowBlank="1" showErrorMessage="1" sqref="G1">
      <formula1>"National,Local,Constructeur ou bureau d'étude"</formula1>
    </dataValidation>
    <dataValidation type="list" allowBlank="1" showInputMessage="1" showErrorMessage="1" promptTitle="Classer de 1 à 7" prompt="Un même classement peut être attribué à plusieurs optimisations" sqref="D55:D61">
      <formula1>"1,2,3,4,5,6,7"</formula1>
    </dataValidation>
    <dataValidation allowBlank="1" showErrorMessage="1" sqref="E55:G61 E63:G64"/>
  </dataValidations>
  <pageMargins left="0.23622047244094488" right="0.23622047244094488" top="0.74803149606299213" bottom="0.74803149606299213" header="0" footer="0"/>
  <pageSetup paperSize="8" scale="70" fitToHeight="0"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A1001"/>
  <sheetViews>
    <sheetView zoomScaleNormal="100" workbookViewId="0">
      <pane ySplit="5" topLeftCell="A72" activePane="bottomLeft" state="frozen"/>
      <selection activeCell="G1" sqref="G1"/>
      <selection pane="bottomLeft" activeCell="D12" sqref="D12"/>
    </sheetView>
  </sheetViews>
  <sheetFormatPr baseColWidth="10" defaultColWidth="14.44140625" defaultRowHeight="15" customHeight="1"/>
  <cols>
    <col min="1" max="1" width="48.44140625" bestFit="1" customWidth="1"/>
    <col min="2" max="2" width="31.21875" bestFit="1" customWidth="1"/>
    <col min="3" max="3" width="40.21875" bestFit="1" customWidth="1"/>
    <col min="4" max="4" width="14.77734375" customWidth="1"/>
    <col min="5" max="6" width="31.21875" customWidth="1"/>
    <col min="7" max="7" width="53.5546875" customWidth="1"/>
    <col min="8" max="8" width="56.21875" customWidth="1"/>
    <col min="9" max="27" width="10.77734375" customWidth="1"/>
  </cols>
  <sheetData>
    <row r="1" spans="1:27" ht="86.25" customHeight="1">
      <c r="A1" s="10" t="s">
        <v>38</v>
      </c>
      <c r="B1" s="11" t="s">
        <v>39</v>
      </c>
      <c r="C1" s="376" t="s">
        <v>40</v>
      </c>
      <c r="D1" s="377"/>
      <c r="E1" s="12">
        <f>E22*0.65+3338*75/70*1.055*0.35</f>
        <v>4268.3462499999996</v>
      </c>
      <c r="F1" s="13" t="s">
        <v>41</v>
      </c>
      <c r="G1" s="123"/>
      <c r="H1" s="14"/>
      <c r="I1" s="14"/>
      <c r="J1" s="14"/>
    </row>
    <row r="2" spans="1:27" ht="14.25" customHeight="1">
      <c r="A2" s="15" t="str">
        <f>B10</f>
        <v>Locatif social</v>
      </c>
      <c r="B2" s="16">
        <v>0</v>
      </c>
      <c r="C2" s="378" t="s">
        <v>42</v>
      </c>
      <c r="D2" s="379"/>
      <c r="E2" s="385">
        <f>(SUM(F69,F71,F73:F74)/(C17+E17))</f>
        <v>4072.75</v>
      </c>
      <c r="F2" s="17"/>
      <c r="G2" s="5"/>
      <c r="H2" s="14"/>
      <c r="I2" s="14"/>
      <c r="J2" s="14"/>
    </row>
    <row r="3" spans="1:27" ht="14.25" customHeight="1">
      <c r="A3" s="18" t="str">
        <f>C10</f>
        <v>Accession encadrée</v>
      </c>
      <c r="B3" s="19">
        <v>0.35</v>
      </c>
      <c r="C3" s="380"/>
      <c r="D3" s="379"/>
      <c r="E3" s="316"/>
      <c r="F3" s="5"/>
      <c r="G3" s="5"/>
      <c r="H3" s="14"/>
      <c r="I3" s="14"/>
      <c r="J3" s="14"/>
    </row>
    <row r="4" spans="1:27" ht="14.25" customHeight="1">
      <c r="A4" s="18" t="str">
        <f>E10</f>
        <v>Libre VAD</v>
      </c>
      <c r="B4" s="19">
        <v>0.65</v>
      </c>
      <c r="C4" s="380"/>
      <c r="D4" s="379"/>
      <c r="E4" s="316"/>
      <c r="F4" s="5"/>
      <c r="G4" s="5"/>
      <c r="H4" s="14"/>
      <c r="I4" s="14"/>
      <c r="J4" s="14"/>
    </row>
    <row r="5" spans="1:27" ht="14.25" customHeight="1">
      <c r="A5" s="18" t="str">
        <f>F10</f>
        <v>Vente en bloc (LLI et résidences gérées)</v>
      </c>
      <c r="B5" s="19">
        <v>0</v>
      </c>
      <c r="C5" s="381"/>
      <c r="D5" s="382"/>
      <c r="E5" s="386"/>
      <c r="F5" s="5"/>
      <c r="G5" s="5"/>
      <c r="H5" s="14"/>
      <c r="I5" s="14"/>
      <c r="J5" s="14"/>
    </row>
    <row r="6" spans="1:27" ht="14.25" customHeight="1">
      <c r="A6" s="20"/>
      <c r="B6" s="20"/>
      <c r="C6" s="5"/>
      <c r="D6" s="5"/>
      <c r="E6" s="5"/>
      <c r="F6" s="5"/>
      <c r="G6" s="5"/>
      <c r="H6" s="14"/>
      <c r="I6" s="14"/>
      <c r="J6" s="14"/>
    </row>
    <row r="7" spans="1:27" ht="21">
      <c r="A7" s="343" t="s">
        <v>43</v>
      </c>
      <c r="B7" s="343"/>
      <c r="C7" s="343"/>
      <c r="D7" s="343"/>
      <c r="E7" s="343"/>
      <c r="F7" s="343"/>
      <c r="G7" s="343"/>
      <c r="H7" s="152"/>
      <c r="I7" s="152"/>
      <c r="J7" s="152"/>
      <c r="K7" s="152"/>
      <c r="L7" s="152"/>
      <c r="M7" s="152"/>
      <c r="N7" s="152"/>
      <c r="O7" s="152"/>
      <c r="P7" s="152"/>
      <c r="Q7" s="152"/>
      <c r="R7" s="152"/>
      <c r="S7" s="152"/>
      <c r="T7" s="152"/>
      <c r="U7" s="152"/>
      <c r="V7" s="152"/>
      <c r="W7" s="152"/>
      <c r="X7" s="152"/>
      <c r="Y7" s="152"/>
      <c r="Z7" s="152"/>
    </row>
    <row r="8" spans="1:27" ht="14.25" customHeight="1">
      <c r="A8" s="21" t="s">
        <v>44</v>
      </c>
      <c r="B8" s="22">
        <v>7000</v>
      </c>
      <c r="C8" s="23"/>
      <c r="D8" s="3"/>
      <c r="E8" s="24"/>
      <c r="F8" s="25"/>
      <c r="G8" s="25"/>
      <c r="H8" s="26"/>
      <c r="I8" s="27"/>
      <c r="J8" s="28"/>
      <c r="K8" s="3"/>
      <c r="L8" s="3"/>
      <c r="M8" s="3"/>
      <c r="N8" s="3"/>
      <c r="O8" s="3"/>
      <c r="P8" s="3"/>
      <c r="Q8" s="3"/>
      <c r="R8" s="3"/>
      <c r="S8" s="3"/>
      <c r="T8" s="3"/>
      <c r="U8" s="3"/>
      <c r="V8" s="3"/>
      <c r="W8" s="3"/>
      <c r="X8" s="3"/>
      <c r="Y8" s="3"/>
      <c r="Z8" s="3"/>
      <c r="AA8" s="3"/>
    </row>
    <row r="9" spans="1:27" ht="14.25" customHeight="1">
      <c r="A9" s="21" t="s">
        <v>45</v>
      </c>
      <c r="B9" s="6">
        <v>100</v>
      </c>
      <c r="C9" s="23"/>
      <c r="D9" s="3"/>
      <c r="E9" s="24"/>
      <c r="F9" s="25"/>
      <c r="G9" s="25"/>
      <c r="H9" s="26"/>
      <c r="I9" s="27"/>
      <c r="J9" s="28"/>
      <c r="K9" s="3"/>
      <c r="L9" s="3"/>
      <c r="M9" s="3"/>
      <c r="N9" s="3"/>
      <c r="O9" s="3"/>
      <c r="P9" s="3"/>
      <c r="Q9" s="3"/>
      <c r="R9" s="3"/>
      <c r="S9" s="3"/>
      <c r="T9" s="3"/>
      <c r="U9" s="3"/>
      <c r="V9" s="3"/>
      <c r="W9" s="3"/>
      <c r="X9" s="3"/>
      <c r="Y9" s="3"/>
      <c r="Z9" s="3"/>
      <c r="AA9" s="3"/>
    </row>
    <row r="10" spans="1:27" ht="14.25" customHeight="1">
      <c r="A10" s="29"/>
      <c r="B10" s="387" t="s">
        <v>46</v>
      </c>
      <c r="C10" s="383" t="s">
        <v>9</v>
      </c>
      <c r="D10" s="384"/>
      <c r="E10" s="389" t="s">
        <v>47</v>
      </c>
      <c r="F10" s="387" t="s">
        <v>48</v>
      </c>
      <c r="G10" s="392" t="s">
        <v>49</v>
      </c>
      <c r="H10" s="26"/>
      <c r="I10" s="27"/>
      <c r="J10" s="28"/>
      <c r="K10" s="3"/>
      <c r="L10" s="3"/>
      <c r="M10" s="3"/>
      <c r="N10" s="3"/>
      <c r="O10" s="3"/>
      <c r="P10" s="3"/>
      <c r="Q10" s="3"/>
      <c r="R10" s="3"/>
      <c r="S10" s="3"/>
      <c r="T10" s="3"/>
      <c r="U10" s="3"/>
      <c r="V10" s="3"/>
      <c r="W10" s="3"/>
      <c r="X10" s="3"/>
      <c r="Y10" s="3"/>
      <c r="Z10" s="3"/>
      <c r="AA10" s="3"/>
    </row>
    <row r="11" spans="1:27" ht="14.25" customHeight="1">
      <c r="A11" s="24"/>
      <c r="B11" s="388"/>
      <c r="C11" s="30" t="s">
        <v>50</v>
      </c>
      <c r="D11" s="153">
        <v>0</v>
      </c>
      <c r="E11" s="390"/>
      <c r="F11" s="388"/>
      <c r="G11" s="388"/>
      <c r="H11" s="31"/>
      <c r="I11" s="8"/>
      <c r="J11" s="28"/>
      <c r="K11" s="5"/>
      <c r="L11" s="5"/>
      <c r="M11" s="5"/>
      <c r="N11" s="5"/>
      <c r="O11" s="5"/>
      <c r="P11" s="5"/>
      <c r="Q11" s="5"/>
      <c r="R11" s="5"/>
      <c r="S11" s="5"/>
      <c r="T11" s="5"/>
      <c r="U11" s="5"/>
      <c r="V11" s="5"/>
      <c r="W11" s="5"/>
      <c r="X11" s="5"/>
      <c r="Y11" s="5"/>
      <c r="Z11" s="5"/>
      <c r="AA11" s="5"/>
    </row>
    <row r="12" spans="1:27" ht="14.25" customHeight="1">
      <c r="A12" s="24"/>
      <c r="B12" s="388"/>
      <c r="C12" s="32" t="s">
        <v>51</v>
      </c>
      <c r="D12" s="135">
        <v>0</v>
      </c>
      <c r="E12" s="390"/>
      <c r="F12" s="388"/>
      <c r="G12" s="388"/>
      <c r="H12" s="31"/>
      <c r="I12" s="8"/>
      <c r="J12" s="28"/>
      <c r="K12" s="5"/>
      <c r="L12" s="5"/>
      <c r="M12" s="5"/>
      <c r="N12" s="5"/>
      <c r="O12" s="5"/>
      <c r="P12" s="5"/>
      <c r="Q12" s="5"/>
      <c r="R12" s="5"/>
      <c r="S12" s="5"/>
      <c r="T12" s="5"/>
      <c r="U12" s="5"/>
      <c r="V12" s="5"/>
      <c r="W12" s="5"/>
      <c r="X12" s="5"/>
      <c r="Y12" s="5"/>
      <c r="Z12" s="5"/>
      <c r="AA12" s="5"/>
    </row>
    <row r="13" spans="1:27" ht="14.25" customHeight="1">
      <c r="A13" s="24"/>
      <c r="B13" s="388"/>
      <c r="C13" s="32" t="s">
        <v>52</v>
      </c>
      <c r="D13" s="248">
        <v>0</v>
      </c>
      <c r="E13" s="390"/>
      <c r="F13" s="388"/>
      <c r="G13" s="388"/>
      <c r="H13" s="31"/>
      <c r="I13" s="8"/>
      <c r="J13" s="28"/>
      <c r="K13" s="5"/>
      <c r="L13" s="5"/>
      <c r="M13" s="5"/>
      <c r="N13" s="5"/>
      <c r="O13" s="5"/>
      <c r="P13" s="5"/>
      <c r="Q13" s="5"/>
      <c r="R13" s="5"/>
      <c r="S13" s="5"/>
      <c r="T13" s="5"/>
      <c r="U13" s="5"/>
      <c r="V13" s="5"/>
      <c r="W13" s="5"/>
      <c r="X13" s="5"/>
      <c r="Y13" s="5"/>
      <c r="Z13" s="5"/>
      <c r="AA13" s="5"/>
    </row>
    <row r="14" spans="1:27" ht="14.25" customHeight="1">
      <c r="A14" s="24"/>
      <c r="B14" s="366"/>
      <c r="C14" s="33" t="s">
        <v>53</v>
      </c>
      <c r="D14" s="34">
        <f>C15-SUM(D11:D13)</f>
        <v>0.35</v>
      </c>
      <c r="E14" s="391"/>
      <c r="F14" s="366"/>
      <c r="G14" s="366"/>
      <c r="H14" s="31"/>
      <c r="I14" s="8"/>
      <c r="J14" s="28"/>
      <c r="K14" s="5"/>
      <c r="L14" s="5"/>
      <c r="M14" s="5"/>
      <c r="N14" s="5"/>
      <c r="O14" s="5"/>
      <c r="P14" s="5"/>
      <c r="Q14" s="5"/>
      <c r="R14" s="5"/>
      <c r="S14" s="5"/>
      <c r="T14" s="5"/>
      <c r="U14" s="5"/>
      <c r="V14" s="5"/>
      <c r="W14" s="5"/>
      <c r="X14" s="5"/>
      <c r="Y14" s="5"/>
      <c r="Z14" s="5"/>
      <c r="AA14" s="5"/>
    </row>
    <row r="15" spans="1:27" ht="14.25" customHeight="1">
      <c r="A15" s="35" t="s">
        <v>54</v>
      </c>
      <c r="B15" s="36">
        <f>B2</f>
        <v>0</v>
      </c>
      <c r="C15" s="393">
        <f>B3</f>
        <v>0.35</v>
      </c>
      <c r="D15" s="394"/>
      <c r="E15" s="37">
        <f>B4</f>
        <v>0.65</v>
      </c>
      <c r="F15" s="37">
        <f>B5</f>
        <v>0</v>
      </c>
      <c r="G15" s="38"/>
      <c r="H15" s="31"/>
      <c r="I15" s="8"/>
      <c r="J15" s="28"/>
      <c r="K15" s="5"/>
      <c r="L15" s="5"/>
      <c r="M15" s="5"/>
      <c r="N15" s="5"/>
      <c r="O15" s="5"/>
      <c r="P15" s="5"/>
      <c r="Q15" s="5"/>
      <c r="R15" s="5"/>
      <c r="S15" s="5"/>
      <c r="T15" s="5"/>
      <c r="U15" s="5"/>
      <c r="V15" s="5"/>
      <c r="W15" s="5"/>
      <c r="X15" s="5"/>
      <c r="Y15" s="5"/>
      <c r="Z15" s="5"/>
      <c r="AA15" s="5"/>
    </row>
    <row r="16" spans="1:27" ht="14.25" customHeight="1">
      <c r="A16" s="39" t="s">
        <v>55</v>
      </c>
      <c r="B16" s="40">
        <f t="shared" ref="B16:C16" si="0">B15*$B$8</f>
        <v>0</v>
      </c>
      <c r="C16" s="395">
        <f t="shared" si="0"/>
        <v>2450</v>
      </c>
      <c r="D16" s="396"/>
      <c r="E16" s="40">
        <f t="shared" ref="E16:F16" si="1">E15*$B$8</f>
        <v>4550</v>
      </c>
      <c r="F16" s="40">
        <f t="shared" si="1"/>
        <v>0</v>
      </c>
      <c r="G16" s="41"/>
      <c r="H16" s="42"/>
      <c r="I16" s="8"/>
      <c r="J16" s="43"/>
      <c r="K16" s="5"/>
      <c r="L16" s="5"/>
      <c r="M16" s="5"/>
      <c r="N16" s="5"/>
      <c r="O16" s="5"/>
      <c r="P16" s="5"/>
      <c r="Q16" s="5"/>
      <c r="R16" s="5"/>
      <c r="S16" s="5"/>
      <c r="T16" s="5"/>
      <c r="U16" s="5"/>
      <c r="V16" s="5"/>
      <c r="W16" s="5"/>
      <c r="X16" s="5"/>
      <c r="Y16" s="5"/>
      <c r="Z16" s="5"/>
      <c r="AA16" s="5"/>
    </row>
    <row r="17" spans="1:27" ht="14.25" customHeight="1">
      <c r="A17" s="44" t="s">
        <v>56</v>
      </c>
      <c r="B17" s="45">
        <f t="shared" ref="B17:C17" si="2">0.9*B16</f>
        <v>0</v>
      </c>
      <c r="C17" s="397">
        <f t="shared" si="2"/>
        <v>2205</v>
      </c>
      <c r="D17" s="398"/>
      <c r="E17" s="45">
        <f t="shared" ref="E17:F17" si="3">0.9*E16</f>
        <v>4095</v>
      </c>
      <c r="F17" s="45">
        <f t="shared" si="3"/>
        <v>0</v>
      </c>
      <c r="G17" s="46" t="s">
        <v>57</v>
      </c>
      <c r="H17" s="42"/>
      <c r="I17" s="8"/>
      <c r="J17" s="43"/>
      <c r="K17" s="5"/>
      <c r="L17" s="5"/>
      <c r="M17" s="5"/>
      <c r="N17" s="5"/>
      <c r="O17" s="5"/>
      <c r="P17" s="5"/>
      <c r="Q17" s="5"/>
      <c r="R17" s="5"/>
      <c r="S17" s="5"/>
      <c r="T17" s="5"/>
      <c r="U17" s="5"/>
      <c r="V17" s="5"/>
      <c r="W17" s="5"/>
      <c r="X17" s="5"/>
      <c r="Y17" s="5"/>
      <c r="Z17" s="5"/>
      <c r="AA17" s="5"/>
    </row>
    <row r="18" spans="1:27" ht="14.25" customHeight="1">
      <c r="A18" s="47" t="s">
        <v>58</v>
      </c>
      <c r="B18" s="48">
        <f t="shared" ref="B18:C18" si="4">ROUND(B17*75/70,0)</f>
        <v>0</v>
      </c>
      <c r="C18" s="399">
        <f t="shared" si="4"/>
        <v>2363</v>
      </c>
      <c r="D18" s="400"/>
      <c r="E18" s="48">
        <f t="shared" ref="E18:F18" si="5">ROUND(E17*75/70,0)</f>
        <v>4388</v>
      </c>
      <c r="F18" s="48">
        <f t="shared" si="5"/>
        <v>0</v>
      </c>
      <c r="G18" s="49" t="s">
        <v>59</v>
      </c>
      <c r="H18" s="42"/>
      <c r="I18" s="8"/>
      <c r="J18" s="43"/>
      <c r="K18" s="5"/>
      <c r="L18" s="5"/>
      <c r="M18" s="5"/>
      <c r="N18" s="5"/>
      <c r="O18" s="5"/>
      <c r="P18" s="5"/>
      <c r="Q18" s="5"/>
      <c r="R18" s="5"/>
      <c r="S18" s="5"/>
      <c r="T18" s="5"/>
      <c r="U18" s="5"/>
      <c r="V18" s="5"/>
      <c r="W18" s="5"/>
      <c r="X18" s="5"/>
      <c r="Y18" s="5"/>
      <c r="Z18" s="5"/>
      <c r="AA18" s="5"/>
    </row>
    <row r="19" spans="1:27" ht="14.25" customHeight="1">
      <c r="A19" s="50" t="s">
        <v>60</v>
      </c>
      <c r="B19" s="51">
        <v>250</v>
      </c>
      <c r="C19" s="401" t="str">
        <f>IF($C$15=0,0,ROUND((350*D11+275*SUM(D12:D14))/C15,0))&amp;" € (350 € BRS et 275 € autres produits)"</f>
        <v>275 € (350 € BRS et 275 € autres produits)</v>
      </c>
      <c r="D19" s="364"/>
      <c r="E19" s="51">
        <v>650</v>
      </c>
      <c r="F19" s="51">
        <v>650</v>
      </c>
      <c r="G19" s="52"/>
      <c r="H19" s="42"/>
      <c r="I19" s="8"/>
      <c r="J19" s="43"/>
      <c r="K19" s="5"/>
      <c r="L19" s="5"/>
      <c r="M19" s="5"/>
      <c r="N19" s="5"/>
      <c r="O19" s="5"/>
      <c r="P19" s="5"/>
      <c r="Q19" s="5"/>
      <c r="R19" s="5"/>
      <c r="S19" s="5"/>
      <c r="T19" s="5"/>
      <c r="U19" s="5"/>
      <c r="V19" s="5"/>
      <c r="W19" s="5"/>
      <c r="X19" s="5"/>
      <c r="Y19" s="5"/>
      <c r="Z19" s="5"/>
      <c r="AA19" s="5"/>
    </row>
    <row r="20" spans="1:27" ht="14.25" customHeight="1">
      <c r="A20" s="50" t="s">
        <v>61</v>
      </c>
      <c r="B20" s="53">
        <f t="shared" ref="B20:C20" si="6">B15*$B$9</f>
        <v>0</v>
      </c>
      <c r="C20" s="363">
        <f t="shared" si="6"/>
        <v>35</v>
      </c>
      <c r="D20" s="364"/>
      <c r="E20" s="53">
        <f t="shared" ref="E20:F20" si="7">E15*$B$9</f>
        <v>65</v>
      </c>
      <c r="F20" s="53">
        <f t="shared" si="7"/>
        <v>0</v>
      </c>
      <c r="G20" s="52"/>
      <c r="H20" s="31"/>
      <c r="I20" s="54"/>
      <c r="J20" s="55"/>
      <c r="K20" s="5"/>
      <c r="L20" s="5"/>
      <c r="M20" s="5"/>
      <c r="N20" s="5"/>
      <c r="O20" s="5"/>
      <c r="P20" s="5"/>
      <c r="Q20" s="5"/>
      <c r="R20" s="5"/>
      <c r="S20" s="5"/>
      <c r="T20" s="5"/>
      <c r="U20" s="5"/>
      <c r="V20" s="5"/>
      <c r="W20" s="5"/>
      <c r="X20" s="5"/>
      <c r="Y20" s="5"/>
      <c r="Z20" s="5"/>
      <c r="AA20" s="5"/>
    </row>
    <row r="21" spans="1:27" ht="14.25" customHeight="1">
      <c r="A21" s="50" t="s">
        <v>62</v>
      </c>
      <c r="B21" s="53">
        <f>ROUND(B20*0.5,0)</f>
        <v>0</v>
      </c>
      <c r="C21" s="363">
        <f>ROUND(C20*0.7,0)</f>
        <v>25</v>
      </c>
      <c r="D21" s="364"/>
      <c r="E21" s="53">
        <f t="shared" ref="E21:F21" si="8">ROUND(E20*0.7,0)</f>
        <v>46</v>
      </c>
      <c r="F21" s="53">
        <f t="shared" si="8"/>
        <v>0</v>
      </c>
      <c r="G21" s="52" t="s">
        <v>146</v>
      </c>
      <c r="H21" s="31"/>
      <c r="I21" s="54"/>
      <c r="J21" s="55"/>
      <c r="K21" s="5"/>
      <c r="L21" s="5"/>
      <c r="M21" s="5"/>
      <c r="N21" s="5"/>
      <c r="O21" s="5"/>
      <c r="P21" s="5"/>
      <c r="Q21" s="5"/>
      <c r="R21" s="5"/>
      <c r="S21" s="5"/>
      <c r="T21" s="5"/>
      <c r="U21" s="5"/>
      <c r="V21" s="5"/>
      <c r="W21" s="5"/>
      <c r="X21" s="5"/>
      <c r="Y21" s="5"/>
      <c r="Z21" s="5"/>
      <c r="AA21" s="5"/>
    </row>
    <row r="22" spans="1:27" ht="14.25" customHeight="1">
      <c r="A22" s="365" t="s">
        <v>63</v>
      </c>
      <c r="B22" s="247">
        <v>2300</v>
      </c>
      <c r="C22" s="367" t="s">
        <v>179</v>
      </c>
      <c r="D22" s="368"/>
      <c r="E22" s="140">
        <v>4535</v>
      </c>
      <c r="F22" s="136"/>
      <c r="G22" s="56"/>
      <c r="H22" s="31"/>
      <c r="I22" s="54"/>
      <c r="J22" s="55"/>
      <c r="K22" s="5"/>
      <c r="L22" s="5"/>
      <c r="M22" s="5"/>
      <c r="N22" s="5"/>
      <c r="O22" s="5"/>
      <c r="P22" s="5"/>
      <c r="Q22" s="5"/>
      <c r="R22" s="5"/>
      <c r="S22" s="5"/>
      <c r="T22" s="5"/>
      <c r="U22" s="5"/>
      <c r="V22" s="5"/>
      <c r="W22" s="5"/>
      <c r="X22" s="5"/>
      <c r="Y22" s="5"/>
      <c r="Z22" s="5"/>
      <c r="AA22" s="5"/>
    </row>
    <row r="23" spans="1:27" ht="60">
      <c r="A23" s="366"/>
      <c r="B23" s="151" t="s">
        <v>65</v>
      </c>
      <c r="C23" s="369"/>
      <c r="D23" s="370"/>
      <c r="E23" s="57" t="s">
        <v>66</v>
      </c>
      <c r="F23" s="57"/>
      <c r="G23" s="58"/>
      <c r="H23" s="5"/>
      <c r="I23" s="5"/>
      <c r="J23" s="5"/>
      <c r="K23" s="5"/>
      <c r="L23" s="5"/>
      <c r="M23" s="5"/>
      <c r="N23" s="5"/>
      <c r="O23" s="5"/>
      <c r="P23" s="5"/>
      <c r="Q23" s="5"/>
      <c r="R23" s="5"/>
      <c r="S23" s="5"/>
      <c r="T23" s="5"/>
      <c r="U23" s="5"/>
      <c r="V23" s="5"/>
      <c r="W23" s="5"/>
      <c r="X23" s="5"/>
      <c r="Y23" s="5"/>
      <c r="Z23" s="5"/>
      <c r="AA23" s="5"/>
    </row>
    <row r="24" spans="1:27" ht="14.25" customHeight="1">
      <c r="A24" s="5"/>
      <c r="B24" s="5"/>
      <c r="C24" s="5"/>
      <c r="D24" s="5"/>
      <c r="E24" s="5"/>
      <c r="F24" s="142"/>
      <c r="G24" s="142"/>
    </row>
    <row r="25" spans="1:27" ht="21">
      <c r="A25" s="343" t="s">
        <v>67</v>
      </c>
      <c r="B25" s="343"/>
      <c r="C25" s="343"/>
      <c r="D25" s="343"/>
      <c r="E25" s="343"/>
      <c r="F25" s="343"/>
      <c r="G25" s="343"/>
      <c r="H25" s="152"/>
      <c r="I25" s="152"/>
      <c r="J25" s="152"/>
      <c r="K25" s="152"/>
      <c r="L25" s="152"/>
      <c r="M25" s="152"/>
      <c r="N25" s="152"/>
      <c r="O25" s="152"/>
      <c r="P25" s="152"/>
      <c r="Q25" s="152"/>
      <c r="R25" s="152"/>
      <c r="S25" s="152"/>
      <c r="T25" s="152"/>
      <c r="U25" s="152"/>
      <c r="V25" s="152"/>
      <c r="W25" s="152"/>
      <c r="X25" s="152"/>
      <c r="Y25" s="152"/>
      <c r="Z25" s="152"/>
    </row>
    <row r="26" spans="1:27" ht="33.75" customHeight="1">
      <c r="A26" s="59" t="s">
        <v>68</v>
      </c>
      <c r="B26" s="60" t="s">
        <v>69</v>
      </c>
      <c r="C26" s="61" t="s">
        <v>70</v>
      </c>
      <c r="D26" s="61" t="s">
        <v>71</v>
      </c>
      <c r="E26" s="371" t="s">
        <v>72</v>
      </c>
      <c r="F26" s="372"/>
      <c r="G26" s="320"/>
    </row>
    <row r="27" spans="1:27" ht="30.6">
      <c r="A27" s="62" t="s">
        <v>73</v>
      </c>
      <c r="B27" s="198" t="s">
        <v>193</v>
      </c>
      <c r="C27" s="64"/>
      <c r="D27" s="194" t="s">
        <v>74</v>
      </c>
      <c r="E27" s="373"/>
      <c r="F27" s="374"/>
      <c r="G27" s="375"/>
    </row>
    <row r="28" spans="1:27" ht="14.4">
      <c r="A28" s="65" t="s">
        <v>75</v>
      </c>
      <c r="B28" s="66"/>
      <c r="C28" s="67"/>
      <c r="D28" s="65"/>
      <c r="E28" s="68"/>
      <c r="F28" s="68"/>
      <c r="G28" s="68"/>
    </row>
    <row r="29" spans="1:27" ht="28.8">
      <c r="A29" s="69" t="s">
        <v>76</v>
      </c>
      <c r="B29" s="70" t="s">
        <v>77</v>
      </c>
      <c r="C29" s="71"/>
      <c r="D29" s="194" t="s">
        <v>74</v>
      </c>
      <c r="E29" s="334"/>
      <c r="F29" s="335"/>
      <c r="G29" s="336"/>
    </row>
    <row r="30" spans="1:27" ht="24">
      <c r="A30" s="72" t="s">
        <v>78</v>
      </c>
      <c r="B30" s="73" t="s">
        <v>79</v>
      </c>
      <c r="C30" s="200" t="s">
        <v>197</v>
      </c>
      <c r="D30" s="194" t="s">
        <v>74</v>
      </c>
      <c r="E30" s="337"/>
      <c r="F30" s="338"/>
      <c r="G30" s="339"/>
    </row>
    <row r="31" spans="1:27" ht="24">
      <c r="A31" s="72" t="s">
        <v>80</v>
      </c>
      <c r="B31" s="73" t="s">
        <v>79</v>
      </c>
      <c r="C31" s="200" t="s">
        <v>198</v>
      </c>
      <c r="D31" s="194" t="s">
        <v>74</v>
      </c>
      <c r="E31" s="337"/>
      <c r="F31" s="338"/>
      <c r="G31" s="339"/>
    </row>
    <row r="32" spans="1:27" ht="28.8">
      <c r="A32" s="74" t="s">
        <v>81</v>
      </c>
      <c r="B32" s="75" t="s">
        <v>82</v>
      </c>
      <c r="C32" s="201" t="s">
        <v>199</v>
      </c>
      <c r="D32" s="194" t="s">
        <v>74</v>
      </c>
      <c r="E32" s="357"/>
      <c r="F32" s="358"/>
      <c r="G32" s="359"/>
    </row>
    <row r="33" spans="1:27" ht="14.4">
      <c r="A33" s="76" t="s">
        <v>83</v>
      </c>
      <c r="B33" s="77"/>
      <c r="C33" s="78"/>
      <c r="D33" s="79"/>
      <c r="E33" s="80"/>
      <c r="F33" s="80"/>
      <c r="G33" s="80"/>
    </row>
    <row r="34" spans="1:27" ht="36">
      <c r="A34" s="196" t="s">
        <v>191</v>
      </c>
      <c r="B34" s="81" t="s">
        <v>84</v>
      </c>
      <c r="C34" s="82" t="s">
        <v>85</v>
      </c>
      <c r="D34" s="194" t="s">
        <v>74</v>
      </c>
      <c r="E34" s="360"/>
      <c r="F34" s="361"/>
      <c r="G34" s="362"/>
    </row>
    <row r="35" spans="1:27" ht="28.8">
      <c r="A35" s="72" t="s">
        <v>86</v>
      </c>
      <c r="B35" s="83" t="s">
        <v>87</v>
      </c>
      <c r="C35" s="84" t="s">
        <v>88</v>
      </c>
      <c r="D35" s="194" t="s">
        <v>74</v>
      </c>
      <c r="E35" s="337"/>
      <c r="F35" s="338"/>
      <c r="G35" s="339"/>
    </row>
    <row r="36" spans="1:27" ht="28.8">
      <c r="A36" s="74" t="s">
        <v>89</v>
      </c>
      <c r="B36" s="63" t="s">
        <v>90</v>
      </c>
      <c r="C36" s="64"/>
      <c r="D36" s="194" t="s">
        <v>74</v>
      </c>
      <c r="E36" s="337"/>
      <c r="F36" s="338"/>
      <c r="G36" s="339"/>
    </row>
    <row r="37" spans="1:27" ht="14.4">
      <c r="A37" s="85" t="s">
        <v>91</v>
      </c>
      <c r="B37" s="86"/>
      <c r="C37" s="87"/>
      <c r="D37" s="85"/>
      <c r="E37" s="88"/>
      <c r="F37" s="88"/>
      <c r="G37" s="88"/>
    </row>
    <row r="38" spans="1:27" ht="23.4">
      <c r="A38" s="346" t="s">
        <v>92</v>
      </c>
      <c r="B38" s="347" t="s">
        <v>93</v>
      </c>
      <c r="C38" s="199" t="s">
        <v>194</v>
      </c>
      <c r="D38" s="194" t="s">
        <v>74</v>
      </c>
      <c r="E38" s="334"/>
      <c r="F38" s="335"/>
      <c r="G38" s="336"/>
    </row>
    <row r="39" spans="1:27" ht="23.4">
      <c r="A39" s="317"/>
      <c r="B39" s="317"/>
      <c r="C39" s="197" t="s">
        <v>195</v>
      </c>
      <c r="D39" s="194" t="s">
        <v>74</v>
      </c>
      <c r="E39" s="337"/>
      <c r="F39" s="338"/>
      <c r="G39" s="339"/>
    </row>
    <row r="40" spans="1:27" ht="23.4">
      <c r="A40" s="315" t="s">
        <v>94</v>
      </c>
      <c r="B40" s="318" t="s">
        <v>95</v>
      </c>
      <c r="C40" s="84" t="s">
        <v>96</v>
      </c>
      <c r="D40" s="194" t="s">
        <v>74</v>
      </c>
      <c r="E40" s="337"/>
      <c r="F40" s="338"/>
      <c r="G40" s="339"/>
    </row>
    <row r="41" spans="1:27" ht="23.4">
      <c r="A41" s="316"/>
      <c r="B41" s="316"/>
      <c r="C41" s="84" t="s">
        <v>97</v>
      </c>
      <c r="D41" s="194" t="s">
        <v>74</v>
      </c>
      <c r="E41" s="337"/>
      <c r="F41" s="338"/>
      <c r="G41" s="339"/>
    </row>
    <row r="42" spans="1:27" ht="23.4">
      <c r="A42" s="317"/>
      <c r="B42" s="317"/>
      <c r="C42" s="197" t="s">
        <v>192</v>
      </c>
      <c r="D42" s="194" t="s">
        <v>74</v>
      </c>
      <c r="E42" s="337"/>
      <c r="F42" s="338"/>
      <c r="G42" s="339"/>
    </row>
    <row r="43" spans="1:27" ht="23.4">
      <c r="A43" s="315" t="s">
        <v>98</v>
      </c>
      <c r="B43" s="195" t="s">
        <v>190</v>
      </c>
      <c r="C43" s="84" t="s">
        <v>99</v>
      </c>
      <c r="D43" s="194" t="s">
        <v>74</v>
      </c>
      <c r="E43" s="337"/>
      <c r="F43" s="338"/>
      <c r="G43" s="339"/>
    </row>
    <row r="44" spans="1:27" ht="24">
      <c r="A44" s="317"/>
      <c r="B44" s="73" t="s">
        <v>100</v>
      </c>
      <c r="C44" s="89" t="s">
        <v>101</v>
      </c>
      <c r="D44" s="194" t="s">
        <v>74</v>
      </c>
      <c r="E44" s="337"/>
      <c r="F44" s="338"/>
      <c r="G44" s="339"/>
    </row>
    <row r="45" spans="1:27" ht="14.25" customHeight="1">
      <c r="A45" s="90"/>
      <c r="B45" s="344" t="s">
        <v>196</v>
      </c>
      <c r="C45" s="345"/>
      <c r="D45" s="345"/>
      <c r="E45" s="345"/>
      <c r="F45" s="345"/>
      <c r="G45" s="345"/>
      <c r="H45" s="2"/>
      <c r="I45" s="2"/>
      <c r="J45" s="2"/>
      <c r="K45" s="2"/>
      <c r="L45" s="2"/>
      <c r="M45" s="2"/>
      <c r="N45" s="2"/>
      <c r="O45" s="2"/>
      <c r="P45" s="2"/>
      <c r="Q45" s="2"/>
      <c r="R45" s="2"/>
      <c r="S45" s="2"/>
      <c r="T45" s="2"/>
      <c r="U45" s="2"/>
      <c r="V45" s="2"/>
      <c r="W45" s="2"/>
      <c r="X45" s="2"/>
      <c r="Y45" s="2"/>
      <c r="Z45" s="2"/>
      <c r="AA45" s="2"/>
    </row>
    <row r="46" spans="1:27" ht="14.25" customHeight="1">
      <c r="A46" s="94"/>
      <c r="B46" s="93"/>
      <c r="C46" s="91"/>
      <c r="D46" s="92"/>
      <c r="E46" s="91"/>
      <c r="F46" s="91"/>
      <c r="G46" s="91"/>
    </row>
    <row r="47" spans="1:27" ht="21">
      <c r="A47" s="343" t="s">
        <v>102</v>
      </c>
      <c r="B47" s="343"/>
      <c r="C47" s="343"/>
      <c r="D47" s="343"/>
      <c r="E47" s="343"/>
      <c r="F47" s="343"/>
      <c r="G47" s="343"/>
      <c r="H47" s="152"/>
      <c r="I47" s="152"/>
      <c r="J47" s="152"/>
      <c r="K47" s="152"/>
      <c r="L47" s="152"/>
      <c r="M47" s="152"/>
      <c r="N47" s="152"/>
      <c r="O47" s="152"/>
      <c r="P47" s="152"/>
      <c r="Q47" s="152"/>
      <c r="R47" s="152"/>
      <c r="S47" s="152"/>
      <c r="T47" s="152"/>
      <c r="U47" s="152"/>
      <c r="V47" s="152"/>
      <c r="W47" s="152"/>
      <c r="X47" s="152"/>
      <c r="Y47" s="152"/>
      <c r="Z47" s="152"/>
    </row>
    <row r="48" spans="1:27" ht="14.25" customHeight="1">
      <c r="A48" s="3" t="s">
        <v>103</v>
      </c>
      <c r="B48" s="3"/>
      <c r="C48" s="95" t="s">
        <v>104</v>
      </c>
      <c r="D48" s="95" t="s">
        <v>105</v>
      </c>
      <c r="E48" s="95" t="s">
        <v>106</v>
      </c>
      <c r="F48" s="95" t="s">
        <v>107</v>
      </c>
      <c r="G48" s="3" t="s">
        <v>49</v>
      </c>
    </row>
    <row r="49" spans="1:27" ht="14.25" customHeight="1">
      <c r="A49" s="150" t="s">
        <v>108</v>
      </c>
      <c r="B49" s="96"/>
      <c r="C49" s="96"/>
      <c r="D49" s="96"/>
      <c r="E49" s="97">
        <f t="shared" ref="E49:F49" si="9">E50+E56</f>
        <v>3631250</v>
      </c>
      <c r="F49" s="97">
        <f t="shared" si="9"/>
        <v>4357500</v>
      </c>
      <c r="G49" s="128">
        <f>F49/$F$77</f>
        <v>0.1698279213471651</v>
      </c>
      <c r="H49" s="1"/>
      <c r="I49" s="1"/>
      <c r="J49" s="1"/>
      <c r="K49" s="1"/>
      <c r="L49" s="1"/>
      <c r="M49" s="1"/>
      <c r="N49" s="1"/>
      <c r="O49" s="1"/>
      <c r="P49" s="1"/>
      <c r="Q49" s="1"/>
      <c r="R49" s="1"/>
      <c r="S49" s="1"/>
      <c r="T49" s="1"/>
      <c r="U49" s="1"/>
      <c r="V49" s="1"/>
      <c r="W49" s="1"/>
      <c r="X49" s="1"/>
      <c r="Y49" s="1"/>
      <c r="Z49" s="1"/>
      <c r="AA49" s="1"/>
    </row>
    <row r="50" spans="1:27" ht="14.25" customHeight="1">
      <c r="A50" s="312" t="s">
        <v>109</v>
      </c>
      <c r="B50" s="312"/>
      <c r="C50" s="99"/>
      <c r="D50" s="4"/>
      <c r="E50" s="100">
        <f t="shared" ref="E50:F50" si="10">SUM(E51:E55)</f>
        <v>3631250</v>
      </c>
      <c r="F50" s="100">
        <f t="shared" si="10"/>
        <v>4357500</v>
      </c>
      <c r="G50" s="101"/>
      <c r="H50" s="102"/>
      <c r="I50" s="102"/>
      <c r="J50" s="102"/>
      <c r="K50" s="102"/>
      <c r="L50" s="102"/>
      <c r="M50" s="102"/>
      <c r="N50" s="102"/>
      <c r="O50" s="102"/>
      <c r="P50" s="102"/>
      <c r="Q50" s="102"/>
      <c r="R50" s="102"/>
      <c r="S50" s="102"/>
      <c r="T50" s="102"/>
      <c r="U50" s="102"/>
      <c r="V50" s="102"/>
      <c r="W50" s="102"/>
      <c r="X50" s="102"/>
      <c r="Y50" s="102"/>
      <c r="Z50" s="102"/>
      <c r="AA50" s="102"/>
    </row>
    <row r="51" spans="1:27" ht="14.25" customHeight="1">
      <c r="A51" s="324" t="s">
        <v>110</v>
      </c>
      <c r="B51" s="324"/>
      <c r="C51" s="202">
        <f>B19</f>
        <v>250</v>
      </c>
      <c r="D51" s="203">
        <f>B15*$B$8</f>
        <v>0</v>
      </c>
      <c r="E51" s="204">
        <f t="shared" ref="E51:E56" si="11">C51*D51</f>
        <v>0</v>
      </c>
      <c r="F51" s="204">
        <f t="shared" ref="F51:F52" si="12">E51*1.055</f>
        <v>0</v>
      </c>
      <c r="G51" s="205" t="s">
        <v>111</v>
      </c>
      <c r="H51" s="103"/>
      <c r="I51" s="103"/>
      <c r="J51" s="103"/>
      <c r="K51" s="103"/>
      <c r="L51" s="103"/>
      <c r="M51" s="103"/>
      <c r="N51" s="103"/>
      <c r="O51" s="103"/>
      <c r="P51" s="103"/>
      <c r="Q51" s="103"/>
      <c r="R51" s="103"/>
      <c r="S51" s="103"/>
      <c r="T51" s="103"/>
      <c r="U51" s="103"/>
      <c r="V51" s="103"/>
      <c r="W51" s="103"/>
      <c r="X51" s="103"/>
      <c r="Y51" s="103"/>
      <c r="Z51" s="103"/>
      <c r="AA51" s="103"/>
    </row>
    <row r="52" spans="1:27" ht="14.25" customHeight="1">
      <c r="A52" s="324" t="s">
        <v>50</v>
      </c>
      <c r="B52" s="325"/>
      <c r="C52" s="202">
        <v>350</v>
      </c>
      <c r="D52" s="203">
        <f>D11*$B$8</f>
        <v>0</v>
      </c>
      <c r="E52" s="206">
        <f t="shared" si="11"/>
        <v>0</v>
      </c>
      <c r="F52" s="206">
        <f t="shared" si="12"/>
        <v>0</v>
      </c>
      <c r="G52" s="205" t="s">
        <v>111</v>
      </c>
      <c r="H52" s="14"/>
      <c r="I52" s="14"/>
      <c r="J52" s="14"/>
      <c r="K52" s="14"/>
      <c r="L52" s="14"/>
      <c r="M52" s="14"/>
      <c r="N52" s="14"/>
      <c r="O52" s="14"/>
      <c r="P52" s="14"/>
      <c r="Q52" s="14"/>
      <c r="R52" s="14"/>
      <c r="S52" s="14"/>
      <c r="T52" s="14"/>
      <c r="U52" s="14"/>
      <c r="V52" s="14"/>
      <c r="W52" s="14"/>
      <c r="X52" s="14"/>
      <c r="Y52" s="14"/>
      <c r="Z52" s="14"/>
      <c r="AA52" s="14"/>
    </row>
    <row r="53" spans="1:27" ht="14.25" customHeight="1">
      <c r="A53" s="324" t="s">
        <v>112</v>
      </c>
      <c r="B53" s="325"/>
      <c r="C53" s="202">
        <v>275</v>
      </c>
      <c r="D53" s="203">
        <f>SUM(D12:D14)*B8</f>
        <v>2450</v>
      </c>
      <c r="E53" s="204">
        <f t="shared" si="11"/>
        <v>673750</v>
      </c>
      <c r="F53" s="204">
        <f>IF(SUM($D$12:$D$14)=0,0,E53*(1.055*SUM($D$12:$D$13)+1.2*$D$14)/SUM($D$12:$D$14))</f>
        <v>808500</v>
      </c>
      <c r="G53" s="205" t="str">
        <f>"TVA moyenne de "&amp;IF(E53=0,0,ROUND((F53/E53-1)*100,2))&amp;" % (prorata SDP)"</f>
        <v>TVA moyenne de 20 % (prorata SDP)</v>
      </c>
      <c r="H53" s="103"/>
      <c r="I53" s="103"/>
      <c r="J53" s="103"/>
      <c r="K53" s="103"/>
      <c r="L53" s="103"/>
      <c r="M53" s="103"/>
      <c r="N53" s="103"/>
      <c r="O53" s="103"/>
      <c r="P53" s="103"/>
      <c r="Q53" s="103"/>
      <c r="R53" s="103"/>
      <c r="S53" s="103"/>
      <c r="T53" s="103"/>
      <c r="U53" s="103"/>
      <c r="V53" s="103"/>
      <c r="W53" s="103"/>
      <c r="X53" s="103"/>
      <c r="Y53" s="103"/>
      <c r="Z53" s="103"/>
      <c r="AA53" s="103"/>
    </row>
    <row r="54" spans="1:27" ht="14.25" customHeight="1">
      <c r="A54" s="324" t="s">
        <v>8</v>
      </c>
      <c r="B54" s="325"/>
      <c r="C54" s="202">
        <f>E19</f>
        <v>650</v>
      </c>
      <c r="D54" s="203">
        <f>(E15+F15)*$B$8</f>
        <v>4550</v>
      </c>
      <c r="E54" s="206">
        <f t="shared" si="11"/>
        <v>2957500</v>
      </c>
      <c r="F54" s="206">
        <f>E54*1.2</f>
        <v>3549000</v>
      </c>
      <c r="G54" s="205" t="s">
        <v>113</v>
      </c>
      <c r="H54" s="14"/>
      <c r="I54" s="14"/>
      <c r="J54" s="14"/>
      <c r="K54" s="14"/>
      <c r="L54" s="14"/>
      <c r="M54" s="14"/>
      <c r="N54" s="14"/>
      <c r="O54" s="14"/>
      <c r="P54" s="14"/>
      <c r="Q54" s="14"/>
      <c r="R54" s="14"/>
      <c r="S54" s="14"/>
      <c r="T54" s="14"/>
      <c r="U54" s="14"/>
      <c r="V54" s="14"/>
      <c r="W54" s="14"/>
      <c r="X54" s="14"/>
      <c r="Y54" s="14"/>
      <c r="Z54" s="14"/>
      <c r="AA54" s="14"/>
    </row>
    <row r="55" spans="1:27" ht="14.25" customHeight="1">
      <c r="A55" s="326" t="s">
        <v>15</v>
      </c>
      <c r="B55" s="327"/>
      <c r="C55" s="207">
        <v>1600</v>
      </c>
      <c r="D55" s="208">
        <f>D60</f>
        <v>0</v>
      </c>
      <c r="E55" s="209">
        <f t="shared" si="11"/>
        <v>0</v>
      </c>
      <c r="F55" s="210">
        <f>IF($C$15=0,E55*(1.2*($E$21+$F$21)+1.055*$B$21)/($B$21+$E$21+$F$21),E55*(1.2*($E$21+$F$21+$C$21*$D$14/$C$15)+1.055*($B$21+$C$21*SUM($D$11:$D$13)/$C$15))/($B$21+$C$21+$E$21+$F$21))</f>
        <v>0</v>
      </c>
      <c r="G55" s="211" t="str">
        <f>"TVA moyenne de "&amp;IF(E55=0,"",ROUND((F55/E55-1)*100,2))&amp;" % (prorata nb places)"</f>
        <v>TVA moyenne de  % (prorata nb places)</v>
      </c>
      <c r="H55" s="103"/>
      <c r="I55" s="103"/>
      <c r="J55" s="103"/>
      <c r="K55" s="103"/>
      <c r="L55" s="103"/>
      <c r="M55" s="103"/>
      <c r="N55" s="103"/>
      <c r="O55" s="103"/>
      <c r="P55" s="103"/>
      <c r="Q55" s="103"/>
      <c r="R55" s="103"/>
      <c r="S55" s="103"/>
      <c r="T55" s="103"/>
      <c r="U55" s="103"/>
      <c r="V55" s="103"/>
      <c r="W55" s="103"/>
      <c r="X55" s="103"/>
      <c r="Y55" s="103"/>
      <c r="Z55" s="103"/>
      <c r="AA55" s="103"/>
    </row>
    <row r="56" spans="1:27" ht="14.25" customHeight="1">
      <c r="A56" s="328" t="s">
        <v>114</v>
      </c>
      <c r="B56" s="329"/>
      <c r="C56" s="137"/>
      <c r="D56" s="104">
        <f>SUM(B21:E21)-D60</f>
        <v>71</v>
      </c>
      <c r="E56" s="105">
        <f t="shared" si="11"/>
        <v>0</v>
      </c>
      <c r="F56" s="105">
        <f>E56*1.2</f>
        <v>0</v>
      </c>
      <c r="G56" s="7"/>
    </row>
    <row r="57" spans="1:27" ht="14.25" customHeight="1">
      <c r="A57" s="96" t="s">
        <v>115</v>
      </c>
      <c r="B57" s="96"/>
      <c r="C57" s="127"/>
      <c r="D57" s="127"/>
      <c r="E57" s="97">
        <f t="shared" ref="E57:F57" si="13">E59+E60+E58</f>
        <v>0</v>
      </c>
      <c r="F57" s="97">
        <f t="shared" si="13"/>
        <v>0</v>
      </c>
      <c r="G57" s="128">
        <f>F57/$F$77</f>
        <v>0</v>
      </c>
      <c r="H57" s="1"/>
      <c r="I57" s="1"/>
      <c r="J57" s="1"/>
      <c r="K57" s="1"/>
      <c r="L57" s="1"/>
      <c r="M57" s="1"/>
      <c r="N57" s="1"/>
      <c r="O57" s="1"/>
      <c r="P57" s="1"/>
      <c r="Q57" s="1"/>
      <c r="R57" s="1"/>
      <c r="S57" s="1"/>
      <c r="T57" s="1"/>
      <c r="U57" s="1"/>
      <c r="V57" s="1"/>
      <c r="W57" s="1"/>
      <c r="X57" s="1"/>
      <c r="Y57" s="1"/>
      <c r="Z57" s="1"/>
      <c r="AA57" s="1"/>
    </row>
    <row r="58" spans="1:27" ht="14.25" customHeight="1">
      <c r="A58" s="330" t="s">
        <v>116</v>
      </c>
      <c r="B58" s="330"/>
      <c r="C58" s="138">
        <v>0</v>
      </c>
      <c r="D58" s="108">
        <f>SUM(B17:E17)</f>
        <v>6300</v>
      </c>
      <c r="E58" s="109">
        <f>D58*C58</f>
        <v>0</v>
      </c>
      <c r="F58" s="109">
        <f t="shared" ref="F58:F60" si="14">IF($C$15=0,E58*(1.2*($E$16+$F$16)+1.055*$B$16)/$B$8,E58*(1.2*($E$16+$F$16+$C$16*$D$14/$C$15)+1.055*($B$16+$C$16*SUM($D$11:$D$13)/$C$15))/$B$8)</f>
        <v>0</v>
      </c>
      <c r="G58" s="244" t="str">
        <f>"TVA moyenne de "&amp;IF(E58=0,"",ROUND((F58/E58-1)*100,2))&amp;" % (prorata SDP)"</f>
        <v>TVA moyenne de  % (prorata SDP)</v>
      </c>
      <c r="H58" s="107"/>
      <c r="I58" s="107"/>
      <c r="J58" s="107"/>
      <c r="K58" s="107"/>
      <c r="L58" s="107"/>
      <c r="M58" s="107"/>
      <c r="N58" s="107"/>
      <c r="O58" s="107"/>
      <c r="P58" s="107"/>
      <c r="Q58" s="107"/>
      <c r="R58" s="107"/>
      <c r="S58" s="107"/>
      <c r="T58" s="107"/>
      <c r="U58" s="107"/>
      <c r="V58" s="107"/>
      <c r="W58" s="107"/>
      <c r="X58" s="107"/>
      <c r="Y58" s="107"/>
      <c r="Z58" s="107"/>
      <c r="AA58" s="107"/>
    </row>
    <row r="59" spans="1:27" ht="14.25" customHeight="1">
      <c r="A59" s="308" t="s">
        <v>117</v>
      </c>
      <c r="B59" s="309"/>
      <c r="C59" s="214">
        <v>0</v>
      </c>
      <c r="D59" s="215">
        <f>SUM(B17:E17)</f>
        <v>6300</v>
      </c>
      <c r="E59" s="216">
        <f>C59*D59</f>
        <v>0</v>
      </c>
      <c r="F59" s="216">
        <f t="shared" si="14"/>
        <v>0</v>
      </c>
      <c r="G59" s="223" t="str">
        <f>"TVA moyenne de "&amp;IF(E59=0,"",ROUND(100*(F59/E59-1),2))&amp;"% (prorata SdP)"</f>
        <v>TVA moyenne de % (prorata SdP)</v>
      </c>
    </row>
    <row r="60" spans="1:27" ht="14.25" customHeight="1">
      <c r="A60" s="330" t="s">
        <v>118</v>
      </c>
      <c r="B60" s="348"/>
      <c r="C60" s="212">
        <v>0</v>
      </c>
      <c r="D60" s="213">
        <v>0</v>
      </c>
      <c r="E60" s="109">
        <f>C60*D60</f>
        <v>0</v>
      </c>
      <c r="F60" s="110">
        <f t="shared" si="14"/>
        <v>0</v>
      </c>
      <c r="G60" s="245" t="str">
        <f>"TVA moyenne de "&amp;IF(E60=0,"",ROUND((F60/E60-1)*100,2))&amp;" % (prorata nb places)"</f>
        <v>TVA moyenne de  % (prorata nb places)</v>
      </c>
    </row>
    <row r="61" spans="1:27" ht="14.25" customHeight="1">
      <c r="A61" s="96" t="s">
        <v>119</v>
      </c>
      <c r="B61" s="96"/>
      <c r="C61" s="127"/>
      <c r="D61" s="106"/>
      <c r="E61" s="97">
        <f t="shared" ref="E61:F61" si="15">SUM(E62:E66)</f>
        <v>0</v>
      </c>
      <c r="F61" s="97">
        <f t="shared" si="15"/>
        <v>0</v>
      </c>
      <c r="G61" s="128">
        <f>F61/$F$77</f>
        <v>0</v>
      </c>
      <c r="H61" s="1"/>
      <c r="I61" s="1"/>
      <c r="J61" s="1"/>
      <c r="K61" s="1"/>
      <c r="L61" s="1"/>
      <c r="M61" s="1"/>
      <c r="N61" s="1"/>
      <c r="O61" s="1"/>
      <c r="P61" s="1"/>
      <c r="Q61" s="1"/>
      <c r="R61" s="1"/>
      <c r="S61" s="1"/>
      <c r="T61" s="1"/>
      <c r="U61" s="1"/>
      <c r="V61" s="1"/>
      <c r="W61" s="1"/>
      <c r="X61" s="1"/>
      <c r="Y61" s="1"/>
      <c r="Z61" s="1"/>
      <c r="AA61" s="1"/>
    </row>
    <row r="62" spans="1:27" ht="14.25" customHeight="1">
      <c r="A62" s="349" t="s">
        <v>120</v>
      </c>
      <c r="B62" s="350"/>
      <c r="C62" s="217">
        <v>0</v>
      </c>
      <c r="D62" s="218" t="s">
        <v>121</v>
      </c>
      <c r="E62" s="219">
        <f>C62*$E$77</f>
        <v>0</v>
      </c>
      <c r="F62" s="219">
        <f t="shared" ref="F62:F66" si="16">IF($C$15=0,E62*(1.2*($E$16+$F$16)+1.055*$B$16)/$B$8,E62*(1.2*($E$16+$F$16+$C$16*$D$14/$C$15)+1.055*($B$16+$C$16*SUM($D$11:$D$13)/$C$15))/$B$8)</f>
        <v>0</v>
      </c>
      <c r="G62" s="220" t="str">
        <f>"TVA moyenne de "&amp;IF(E62=0,"",ROUND(100*(F62/E62-1),2))&amp;"% (prorata SdP)"</f>
        <v>TVA moyenne de % (prorata SdP)</v>
      </c>
      <c r="H62" s="102"/>
      <c r="I62" s="102"/>
      <c r="J62" s="102"/>
      <c r="K62" s="102"/>
      <c r="L62" s="102"/>
      <c r="M62" s="102"/>
      <c r="N62" s="102"/>
      <c r="O62" s="102"/>
      <c r="P62" s="102"/>
      <c r="Q62" s="102"/>
      <c r="R62" s="102"/>
      <c r="S62" s="102"/>
      <c r="T62" s="102"/>
      <c r="U62" s="102"/>
      <c r="V62" s="102"/>
      <c r="W62" s="102"/>
      <c r="X62" s="102"/>
      <c r="Y62" s="102"/>
      <c r="Z62" s="102"/>
      <c r="AA62" s="102"/>
    </row>
    <row r="63" spans="1:27" ht="14.25" customHeight="1">
      <c r="A63" s="308" t="s">
        <v>122</v>
      </c>
      <c r="B63" s="309"/>
      <c r="C63" s="221">
        <v>0</v>
      </c>
      <c r="D63" s="222" t="s">
        <v>121</v>
      </c>
      <c r="E63" s="216">
        <f>C63*$E$77</f>
        <v>0</v>
      </c>
      <c r="F63" s="216">
        <f t="shared" si="16"/>
        <v>0</v>
      </c>
      <c r="G63" s="220" t="str">
        <f t="shared" ref="G63:G66" si="17">"TVA moyenne de "&amp;IF(E63=0,"",ROUND(100*(F63/E63-1),2))&amp;"% (prorata SdP)"</f>
        <v>TVA moyenne de % (prorata SdP)</v>
      </c>
      <c r="H63" s="102"/>
      <c r="I63" s="102"/>
      <c r="J63" s="102"/>
      <c r="K63" s="102"/>
      <c r="L63" s="102"/>
      <c r="M63" s="102"/>
      <c r="N63" s="102"/>
      <c r="O63" s="102"/>
      <c r="P63" s="102"/>
      <c r="Q63" s="102"/>
      <c r="R63" s="102"/>
      <c r="S63" s="102"/>
      <c r="T63" s="102"/>
      <c r="U63" s="102"/>
      <c r="V63" s="102"/>
      <c r="W63" s="102"/>
      <c r="X63" s="102"/>
      <c r="Y63" s="102"/>
      <c r="Z63" s="102"/>
      <c r="AA63" s="102"/>
    </row>
    <row r="64" spans="1:27" ht="14.25" customHeight="1">
      <c r="A64" s="308" t="s">
        <v>123</v>
      </c>
      <c r="B64" s="309"/>
      <c r="C64" s="221">
        <v>0</v>
      </c>
      <c r="D64" s="222" t="s">
        <v>121</v>
      </c>
      <c r="E64" s="216">
        <f>C64*$E$77</f>
        <v>0</v>
      </c>
      <c r="F64" s="216">
        <f t="shared" si="16"/>
        <v>0</v>
      </c>
      <c r="G64" s="220" t="str">
        <f t="shared" si="17"/>
        <v>TVA moyenne de % (prorata SdP)</v>
      </c>
      <c r="H64" s="102"/>
      <c r="I64" s="102"/>
      <c r="J64" s="102"/>
      <c r="K64" s="102"/>
      <c r="L64" s="102"/>
      <c r="M64" s="102"/>
      <c r="N64" s="102"/>
      <c r="O64" s="102"/>
      <c r="P64" s="102"/>
      <c r="Q64" s="102"/>
      <c r="R64" s="102"/>
      <c r="S64" s="102"/>
      <c r="T64" s="102"/>
      <c r="U64" s="102"/>
      <c r="V64" s="102"/>
      <c r="W64" s="102"/>
      <c r="X64" s="102"/>
      <c r="Y64" s="102"/>
      <c r="Z64" s="102"/>
      <c r="AA64" s="102"/>
    </row>
    <row r="65" spans="1:27" ht="14.25" customHeight="1">
      <c r="A65" s="308" t="s">
        <v>124</v>
      </c>
      <c r="B65" s="309"/>
      <c r="C65" s="221">
        <v>0</v>
      </c>
      <c r="D65" s="222" t="s">
        <v>121</v>
      </c>
      <c r="E65" s="216">
        <f>C65*$E$77</f>
        <v>0</v>
      </c>
      <c r="F65" s="216">
        <f t="shared" si="16"/>
        <v>0</v>
      </c>
      <c r="G65" s="220" t="str">
        <f t="shared" si="17"/>
        <v>TVA moyenne de % (prorata SdP)</v>
      </c>
      <c r="H65" s="102"/>
      <c r="I65" s="102"/>
      <c r="J65" s="102"/>
      <c r="K65" s="102"/>
      <c r="L65" s="102"/>
      <c r="M65" s="102"/>
      <c r="N65" s="102"/>
      <c r="O65" s="102"/>
      <c r="P65" s="102"/>
      <c r="Q65" s="102"/>
      <c r="R65" s="102"/>
      <c r="S65" s="102"/>
      <c r="T65" s="102"/>
      <c r="U65" s="102"/>
      <c r="V65" s="102"/>
      <c r="W65" s="102"/>
      <c r="X65" s="102"/>
      <c r="Y65" s="102"/>
      <c r="Z65" s="102"/>
      <c r="AA65" s="102"/>
    </row>
    <row r="66" spans="1:27" ht="14.25" customHeight="1">
      <c r="A66" s="310" t="s">
        <v>125</v>
      </c>
      <c r="B66" s="311"/>
      <c r="C66" s="139">
        <v>0</v>
      </c>
      <c r="D66" s="133" t="s">
        <v>121</v>
      </c>
      <c r="E66" s="110">
        <f>C66*$E$77</f>
        <v>0</v>
      </c>
      <c r="F66" s="110">
        <f t="shared" si="16"/>
        <v>0</v>
      </c>
      <c r="G66" s="111" t="str">
        <f t="shared" si="17"/>
        <v>TVA moyenne de % (prorata SdP)</v>
      </c>
      <c r="H66" s="102"/>
      <c r="I66" s="102"/>
      <c r="J66" s="102"/>
      <c r="K66" s="102"/>
      <c r="L66" s="102"/>
      <c r="M66" s="102"/>
      <c r="N66" s="102"/>
      <c r="O66" s="102"/>
      <c r="P66" s="102"/>
      <c r="Q66" s="102"/>
      <c r="R66" s="102"/>
      <c r="S66" s="102"/>
      <c r="T66" s="102"/>
      <c r="U66" s="102"/>
      <c r="V66" s="102"/>
      <c r="W66" s="102"/>
      <c r="X66" s="102"/>
      <c r="Y66" s="102"/>
      <c r="Z66" s="102"/>
      <c r="AA66" s="102"/>
    </row>
    <row r="67" spans="1:27" ht="14.25" customHeight="1">
      <c r="A67" s="112" t="s">
        <v>126</v>
      </c>
      <c r="B67" s="112"/>
      <c r="C67" s="129"/>
      <c r="D67" s="113"/>
      <c r="E67" s="114">
        <f t="shared" ref="E67:F67" si="18">SUM(E49,E57,E61)</f>
        <v>3631250</v>
      </c>
      <c r="F67" s="114">
        <f t="shared" si="18"/>
        <v>4357500</v>
      </c>
      <c r="G67" s="115"/>
      <c r="H67" s="9"/>
      <c r="I67" s="9"/>
      <c r="J67" s="9"/>
      <c r="K67" s="9"/>
      <c r="L67" s="9"/>
      <c r="M67" s="9"/>
      <c r="N67" s="9"/>
      <c r="O67" s="9"/>
      <c r="P67" s="9"/>
      <c r="Q67" s="9"/>
      <c r="R67" s="9"/>
      <c r="S67" s="9"/>
      <c r="T67" s="9"/>
      <c r="U67" s="9"/>
      <c r="V67" s="9"/>
      <c r="W67" s="9"/>
      <c r="X67" s="9"/>
      <c r="Y67" s="9"/>
      <c r="Z67" s="9"/>
      <c r="AA67" s="9"/>
    </row>
    <row r="68" spans="1:27" ht="14.25" customHeight="1">
      <c r="A68" s="96" t="s">
        <v>127</v>
      </c>
      <c r="B68" s="96"/>
      <c r="C68" s="130"/>
      <c r="D68" s="96"/>
      <c r="E68" s="97">
        <f t="shared" ref="E68:F68" si="19">SUM(E69:E76)</f>
        <v>21381937.5</v>
      </c>
      <c r="F68" s="97">
        <f t="shared" si="19"/>
        <v>25658325</v>
      </c>
      <c r="G68" s="98"/>
      <c r="H68" s="1"/>
      <c r="I68" s="1"/>
      <c r="J68" s="1"/>
      <c r="K68" s="1"/>
      <c r="L68" s="1"/>
      <c r="M68" s="1"/>
      <c r="N68" s="1"/>
      <c r="O68" s="1"/>
      <c r="P68" s="1"/>
      <c r="Q68" s="1"/>
      <c r="R68" s="1"/>
      <c r="S68" s="1"/>
      <c r="T68" s="1"/>
      <c r="U68" s="1"/>
      <c r="V68" s="1"/>
      <c r="W68" s="1"/>
      <c r="X68" s="1"/>
      <c r="Y68" s="1"/>
      <c r="Z68" s="1"/>
      <c r="AA68" s="1"/>
    </row>
    <row r="69" spans="1:27" ht="14.25" customHeight="1">
      <c r="A69" s="312" t="s">
        <v>128</v>
      </c>
      <c r="B69" s="312"/>
      <c r="C69" s="131">
        <f>E22</f>
        <v>4535</v>
      </c>
      <c r="D69" s="116">
        <f>E17</f>
        <v>4095</v>
      </c>
      <c r="E69" s="100">
        <f t="shared" ref="E69:E70" si="20">F69/1.2</f>
        <v>15475687.5</v>
      </c>
      <c r="F69" s="100">
        <f>C69*D69</f>
        <v>18570825</v>
      </c>
      <c r="G69" s="117" t="s">
        <v>113</v>
      </c>
    </row>
    <row r="70" spans="1:27" ht="14.25" customHeight="1">
      <c r="A70" s="355" t="s">
        <v>129</v>
      </c>
      <c r="B70" s="356"/>
      <c r="C70" s="224">
        <f>F22</f>
        <v>0</v>
      </c>
      <c r="D70" s="225">
        <f>F17</f>
        <v>0</v>
      </c>
      <c r="E70" s="226">
        <f t="shared" si="20"/>
        <v>0</v>
      </c>
      <c r="F70" s="226">
        <f>C70*D70</f>
        <v>0</v>
      </c>
      <c r="G70" s="227" t="s">
        <v>113</v>
      </c>
    </row>
    <row r="71" spans="1:27" ht="14.25" customHeight="1">
      <c r="A71" s="353" t="s">
        <v>130</v>
      </c>
      <c r="B71" s="354"/>
      <c r="C71" s="228">
        <f>3338*0.8</f>
        <v>2670.4</v>
      </c>
      <c r="D71" s="229">
        <f>IF($C$15=0,0,C18*$D$11/$C$15)</f>
        <v>0</v>
      </c>
      <c r="E71" s="230">
        <f>C71*D71</f>
        <v>0</v>
      </c>
      <c r="F71" s="230">
        <f>1.055*E71</f>
        <v>0</v>
      </c>
      <c r="G71" s="231" t="s">
        <v>111</v>
      </c>
    </row>
    <row r="72" spans="1:27" ht="14.25" customHeight="1">
      <c r="A72" s="355" t="s">
        <v>131</v>
      </c>
      <c r="B72" s="356"/>
      <c r="C72" s="232">
        <f>C52</f>
        <v>350</v>
      </c>
      <c r="D72" s="225">
        <f>IF($C$15=0,0,C16*$D$11/$C$15)</f>
        <v>0</v>
      </c>
      <c r="E72" s="226">
        <f>C72*D72</f>
        <v>0</v>
      </c>
      <c r="F72" s="226">
        <f>E72*1.055</f>
        <v>0</v>
      </c>
      <c r="G72" s="233" t="s">
        <v>111</v>
      </c>
    </row>
    <row r="73" spans="1:27" ht="14.25" customHeight="1">
      <c r="A73" s="351" t="s">
        <v>132</v>
      </c>
      <c r="B73" s="352"/>
      <c r="C73" s="234">
        <v>3338</v>
      </c>
      <c r="D73" s="235">
        <f>IF($C$15=0,0,C18*SUM($D$12:$D$13)/$C$15)</f>
        <v>0</v>
      </c>
      <c r="E73" s="236">
        <f>C73*D73</f>
        <v>0</v>
      </c>
      <c r="F73" s="236">
        <f>1.055*E73</f>
        <v>0</v>
      </c>
      <c r="G73" s="237" t="s">
        <v>111</v>
      </c>
    </row>
    <row r="74" spans="1:27" ht="14.25" customHeight="1">
      <c r="A74" s="351" t="s">
        <v>133</v>
      </c>
      <c r="B74" s="352"/>
      <c r="C74" s="238">
        <v>3000</v>
      </c>
      <c r="D74" s="235">
        <f>IF($C$15=0,0,C17*$D$14/$C$15+4.5*ROUND($C$20*$D$14/$C$15,0))</f>
        <v>2362.5</v>
      </c>
      <c r="E74" s="236">
        <f>F74/1.2</f>
        <v>5906250</v>
      </c>
      <c r="F74" s="236">
        <f>D74*C74</f>
        <v>7087500</v>
      </c>
      <c r="G74" s="237" t="s">
        <v>113</v>
      </c>
    </row>
    <row r="75" spans="1:27" ht="14.25" customHeight="1">
      <c r="A75" s="351" t="s">
        <v>134</v>
      </c>
      <c r="B75" s="352"/>
      <c r="C75" s="239">
        <f>B22</f>
        <v>2300</v>
      </c>
      <c r="D75" s="235">
        <f>+B17</f>
        <v>0</v>
      </c>
      <c r="E75" s="236">
        <f>C75*D75</f>
        <v>0</v>
      </c>
      <c r="F75" s="236">
        <f>1.055*E75</f>
        <v>0</v>
      </c>
      <c r="G75" s="240" t="s">
        <v>111</v>
      </c>
    </row>
    <row r="76" spans="1:27" ht="14.25" customHeight="1">
      <c r="A76" s="353" t="s">
        <v>135</v>
      </c>
      <c r="B76" s="354"/>
      <c r="C76" s="241">
        <v>0</v>
      </c>
      <c r="D76" s="242">
        <f>SUM(B21:E21)</f>
        <v>71</v>
      </c>
      <c r="E76" s="243">
        <f>IF($C$15=0,F76/((1.2*($E$21+$F$21)+1.055*$B$21)/($B$21+$E$21+$F$21)),F76/((1.2*($C$21*$D$14/$C$15+$E$21+$F$21)+1.055*($B$21+$C$21*SUM($D$11:$D$13)/$C$15))/($B$21+$C$21+$E$21+$F$21)))</f>
        <v>0</v>
      </c>
      <c r="F76" s="230">
        <f>C76*SUM(B21:F21)</f>
        <v>0</v>
      </c>
      <c r="G76" s="246" t="str">
        <f>"TVA moyenne de "&amp;IF(E76=0,"",ROUND(100*(F76/E76-1),2))&amp;"% (prorata nb places)"</f>
        <v>TVA moyenne de % (prorata nb places)</v>
      </c>
    </row>
    <row r="77" spans="1:27" ht="14.25" customHeight="1">
      <c r="A77" s="112" t="s">
        <v>136</v>
      </c>
      <c r="B77" s="112"/>
      <c r="C77" s="132"/>
      <c r="D77" s="112"/>
      <c r="E77" s="114">
        <f t="shared" ref="E77:F77" si="21">E68</f>
        <v>21381937.5</v>
      </c>
      <c r="F77" s="114">
        <f t="shared" si="21"/>
        <v>25658325</v>
      </c>
      <c r="G77" s="115"/>
      <c r="H77" s="9"/>
      <c r="I77" s="9"/>
      <c r="J77" s="9"/>
      <c r="K77" s="9"/>
      <c r="L77" s="9"/>
      <c r="M77" s="9"/>
      <c r="N77" s="9"/>
      <c r="O77" s="9"/>
      <c r="P77" s="9"/>
      <c r="Q77" s="9"/>
      <c r="R77" s="9"/>
      <c r="S77" s="9"/>
      <c r="T77" s="9"/>
      <c r="U77" s="9"/>
      <c r="V77" s="9"/>
      <c r="W77" s="9"/>
      <c r="X77" s="9"/>
      <c r="Y77" s="9"/>
      <c r="Z77" s="9"/>
      <c r="AA77" s="9"/>
    </row>
    <row r="78" spans="1:27" ht="14.25" customHeight="1">
      <c r="A78" s="118" t="s">
        <v>137</v>
      </c>
      <c r="B78" s="118"/>
      <c r="C78" s="119">
        <f>(F77-F67)/F77</f>
        <v>0.83017207865283493</v>
      </c>
      <c r="D78" s="120"/>
      <c r="E78" s="120"/>
      <c r="F78" s="121">
        <f>F77-F67</f>
        <v>21300825</v>
      </c>
      <c r="G78" s="122"/>
    </row>
    <row r="79" spans="1:27" ht="14.25" customHeight="1">
      <c r="A79" s="5"/>
      <c r="B79" s="5"/>
      <c r="C79" s="5"/>
      <c r="D79" s="5"/>
      <c r="E79" s="5"/>
      <c r="F79" s="5"/>
      <c r="G79" s="5"/>
    </row>
    <row r="80" spans="1:27" ht="21">
      <c r="A80" s="343" t="s">
        <v>138</v>
      </c>
      <c r="B80" s="343"/>
      <c r="C80" s="343"/>
      <c r="D80" s="343"/>
      <c r="E80" s="343"/>
      <c r="F80" s="343"/>
      <c r="G80" s="343"/>
      <c r="H80" s="152"/>
      <c r="I80" s="152"/>
      <c r="J80" s="152"/>
      <c r="K80" s="152"/>
      <c r="L80" s="152"/>
      <c r="M80" s="152"/>
      <c r="N80" s="152"/>
      <c r="O80" s="152"/>
      <c r="P80" s="152"/>
      <c r="Q80" s="152"/>
      <c r="R80" s="152"/>
      <c r="S80" s="152"/>
      <c r="T80" s="152"/>
      <c r="U80" s="152"/>
      <c r="V80" s="152"/>
      <c r="W80" s="152"/>
      <c r="X80" s="152"/>
      <c r="Y80" s="152"/>
      <c r="Z80" s="152"/>
    </row>
    <row r="81" spans="1:27" ht="44.25" customHeight="1">
      <c r="A81" s="319" t="s">
        <v>139</v>
      </c>
      <c r="B81" s="320"/>
      <c r="C81" s="340"/>
      <c r="D81" s="341"/>
      <c r="E81" s="341"/>
      <c r="F81" s="341"/>
      <c r="G81" s="342"/>
      <c r="H81" s="54"/>
      <c r="I81" s="54"/>
      <c r="J81" s="54"/>
      <c r="K81" s="54"/>
      <c r="L81" s="54"/>
      <c r="M81" s="54"/>
      <c r="N81" s="54"/>
      <c r="O81" s="54"/>
      <c r="P81" s="54"/>
      <c r="Q81" s="54"/>
      <c r="R81" s="54"/>
      <c r="S81" s="54"/>
      <c r="T81" s="54"/>
      <c r="U81" s="54"/>
      <c r="V81" s="54"/>
      <c r="W81" s="54"/>
      <c r="X81" s="54"/>
      <c r="Y81" s="54"/>
      <c r="Z81" s="54"/>
      <c r="AA81" s="54"/>
    </row>
    <row r="82" spans="1:27" ht="44.25" customHeight="1">
      <c r="A82" s="321" t="s">
        <v>140</v>
      </c>
      <c r="B82" s="314"/>
      <c r="C82" s="331"/>
      <c r="D82" s="332"/>
      <c r="E82" s="332"/>
      <c r="F82" s="332"/>
      <c r="G82" s="333"/>
      <c r="H82" s="54"/>
      <c r="I82" s="54"/>
      <c r="J82" s="54"/>
      <c r="K82" s="54"/>
      <c r="L82" s="54"/>
      <c r="M82" s="54"/>
      <c r="N82" s="54"/>
      <c r="O82" s="54"/>
      <c r="P82" s="54"/>
      <c r="Q82" s="54"/>
      <c r="R82" s="54"/>
      <c r="S82" s="54"/>
      <c r="T82" s="54"/>
      <c r="U82" s="54"/>
      <c r="V82" s="54"/>
      <c r="W82" s="54"/>
      <c r="X82" s="54"/>
      <c r="Y82" s="54"/>
      <c r="Z82" s="54"/>
      <c r="AA82" s="54"/>
    </row>
    <row r="83" spans="1:27" ht="44.25" customHeight="1">
      <c r="A83" s="322" t="s">
        <v>141</v>
      </c>
      <c r="B83" s="314"/>
      <c r="C83" s="331"/>
      <c r="D83" s="332"/>
      <c r="E83" s="332"/>
      <c r="F83" s="332"/>
      <c r="G83" s="333"/>
      <c r="H83" s="54"/>
      <c r="I83" s="54"/>
      <c r="J83" s="54"/>
      <c r="K83" s="54"/>
      <c r="L83" s="54"/>
      <c r="M83" s="54"/>
      <c r="N83" s="54"/>
      <c r="O83" s="54"/>
      <c r="P83" s="54"/>
      <c r="Q83" s="54"/>
      <c r="R83" s="54"/>
      <c r="S83" s="54"/>
      <c r="T83" s="54"/>
      <c r="U83" s="54"/>
      <c r="V83" s="54"/>
      <c r="W83" s="54"/>
      <c r="X83" s="54"/>
      <c r="Y83" s="54"/>
      <c r="Z83" s="54"/>
      <c r="AA83" s="54"/>
    </row>
    <row r="84" spans="1:27" ht="48" customHeight="1">
      <c r="A84" s="323" t="s">
        <v>142</v>
      </c>
      <c r="B84" s="323"/>
      <c r="C84" s="331"/>
      <c r="D84" s="332"/>
      <c r="E84" s="332"/>
      <c r="F84" s="332"/>
      <c r="G84" s="333"/>
      <c r="H84" s="54"/>
      <c r="I84" s="54"/>
      <c r="J84" s="54"/>
      <c r="K84" s="54"/>
      <c r="L84" s="54"/>
      <c r="M84" s="54"/>
      <c r="N84" s="54"/>
      <c r="O84" s="54"/>
      <c r="P84" s="54"/>
      <c r="Q84" s="54"/>
      <c r="R84" s="54"/>
      <c r="S84" s="54"/>
      <c r="T84" s="54"/>
      <c r="U84" s="54"/>
      <c r="V84" s="54"/>
      <c r="W84" s="54"/>
      <c r="X84" s="54"/>
      <c r="Y84" s="54"/>
      <c r="Z84" s="54"/>
      <c r="AA84" s="54"/>
    </row>
    <row r="85" spans="1:27" ht="75.75" customHeight="1">
      <c r="A85" s="313" t="s">
        <v>143</v>
      </c>
      <c r="B85" s="314"/>
      <c r="C85" s="331"/>
      <c r="D85" s="332"/>
      <c r="E85" s="332"/>
      <c r="F85" s="332"/>
      <c r="G85" s="333"/>
      <c r="H85" s="54"/>
      <c r="I85" s="54"/>
      <c r="J85" s="54"/>
      <c r="K85" s="54"/>
      <c r="L85" s="54"/>
      <c r="M85" s="54"/>
      <c r="N85" s="54"/>
      <c r="O85" s="54"/>
      <c r="P85" s="54"/>
      <c r="Q85" s="54"/>
      <c r="R85" s="54"/>
      <c r="S85" s="54"/>
      <c r="T85" s="54"/>
      <c r="U85" s="54"/>
      <c r="V85" s="54"/>
      <c r="W85" s="54"/>
      <c r="X85" s="54"/>
      <c r="Y85" s="54"/>
      <c r="Z85" s="54"/>
      <c r="AA85" s="54"/>
    </row>
    <row r="86" spans="1:27" ht="48.75" customHeight="1">
      <c r="A86" s="313" t="s">
        <v>144</v>
      </c>
      <c r="B86" s="314"/>
      <c r="C86" s="331"/>
      <c r="D86" s="332"/>
      <c r="E86" s="332"/>
      <c r="F86" s="332"/>
      <c r="G86" s="333"/>
      <c r="H86" s="54"/>
      <c r="I86" s="54"/>
      <c r="J86" s="54"/>
      <c r="K86" s="54"/>
      <c r="L86" s="54"/>
      <c r="M86" s="54"/>
      <c r="N86" s="54"/>
      <c r="O86" s="54"/>
      <c r="P86" s="54"/>
      <c r="Q86" s="54"/>
      <c r="R86" s="54"/>
      <c r="S86" s="54"/>
      <c r="T86" s="54"/>
      <c r="U86" s="54"/>
      <c r="V86" s="54"/>
      <c r="W86" s="54"/>
      <c r="X86" s="54"/>
      <c r="Y86" s="54"/>
      <c r="Z86" s="54"/>
      <c r="AA86" s="54"/>
    </row>
    <row r="87" spans="1:27" ht="44.25" customHeight="1">
      <c r="A87" s="313" t="s">
        <v>145</v>
      </c>
      <c r="B87" s="314"/>
      <c r="C87" s="331"/>
      <c r="D87" s="332"/>
      <c r="E87" s="332"/>
      <c r="F87" s="332"/>
      <c r="G87" s="333"/>
      <c r="H87" s="54"/>
      <c r="I87" s="54"/>
      <c r="J87" s="54"/>
      <c r="K87" s="54"/>
      <c r="L87" s="54"/>
      <c r="M87" s="54"/>
      <c r="N87" s="54"/>
      <c r="O87" s="54"/>
      <c r="P87" s="54"/>
      <c r="Q87" s="54"/>
      <c r="R87" s="54"/>
      <c r="S87" s="54"/>
      <c r="T87" s="54"/>
      <c r="U87" s="54"/>
      <c r="V87" s="54"/>
      <c r="W87" s="54"/>
      <c r="X87" s="54"/>
      <c r="Y87" s="54"/>
      <c r="Z87" s="54"/>
      <c r="AA87" s="54"/>
    </row>
    <row r="88" spans="1:27" ht="14.25" customHeight="1"/>
    <row r="89" spans="1:27" ht="14.25" customHeight="1"/>
    <row r="90" spans="1:27" ht="14.25" customHeight="1"/>
    <row r="91" spans="1:27" ht="14.25" customHeight="1"/>
    <row r="92" spans="1:27" ht="14.25" customHeight="1"/>
    <row r="93" spans="1:27" ht="14.25" customHeight="1"/>
    <row r="94" spans="1:27" ht="14.25" customHeight="1"/>
    <row r="95" spans="1:27" ht="14.25" customHeight="1"/>
    <row r="96" spans="1:27"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row r="1001" ht="14.25" customHeight="1"/>
  </sheetData>
  <sheetProtection algorithmName="SHA-512" hashValue="5qve1I/nqYT4ZDHAGVfAk72rhaiaQqc7antLMe06VxDLbKFkV47zF0NIP+N0KUh7JKayGsjZRkKxYaUzym1/Gg==" saltValue="sF8apqHMqp3NMEaRkNP+xg==" spinCount="100000" sheet="1" objects="1" scenarios="1"/>
  <mergeCells count="80">
    <mergeCell ref="C1:D1"/>
    <mergeCell ref="C2:D5"/>
    <mergeCell ref="C10:D10"/>
    <mergeCell ref="A7:G7"/>
    <mergeCell ref="A80:G80"/>
    <mergeCell ref="E2:E5"/>
    <mergeCell ref="B10:B14"/>
    <mergeCell ref="E10:E14"/>
    <mergeCell ref="F10:F14"/>
    <mergeCell ref="G10:G14"/>
    <mergeCell ref="C15:D15"/>
    <mergeCell ref="C16:D16"/>
    <mergeCell ref="C17:D17"/>
    <mergeCell ref="C18:D18"/>
    <mergeCell ref="C19:D19"/>
    <mergeCell ref="C20:D20"/>
    <mergeCell ref="C21:D21"/>
    <mergeCell ref="A22:A23"/>
    <mergeCell ref="C22:D23"/>
    <mergeCell ref="E26:G26"/>
    <mergeCell ref="E27:G27"/>
    <mergeCell ref="A25:G25"/>
    <mergeCell ref="E29:G29"/>
    <mergeCell ref="E30:G30"/>
    <mergeCell ref="E31:G31"/>
    <mergeCell ref="E32:G32"/>
    <mergeCell ref="E34:G34"/>
    <mergeCell ref="E35:G35"/>
    <mergeCell ref="E36:G36"/>
    <mergeCell ref="A38:A39"/>
    <mergeCell ref="B38:B39"/>
    <mergeCell ref="C86:G86"/>
    <mergeCell ref="A86:B86"/>
    <mergeCell ref="A60:B60"/>
    <mergeCell ref="A62:B62"/>
    <mergeCell ref="A85:B85"/>
    <mergeCell ref="A74:B74"/>
    <mergeCell ref="A75:B75"/>
    <mergeCell ref="A76:B76"/>
    <mergeCell ref="A70:B70"/>
    <mergeCell ref="A72:B72"/>
    <mergeCell ref="A71:B71"/>
    <mergeCell ref="A73:B73"/>
    <mergeCell ref="C87:G87"/>
    <mergeCell ref="E38:G38"/>
    <mergeCell ref="E39:G39"/>
    <mergeCell ref="E40:G40"/>
    <mergeCell ref="E41:G41"/>
    <mergeCell ref="E42:G42"/>
    <mergeCell ref="E43:G43"/>
    <mergeCell ref="E44:G44"/>
    <mergeCell ref="C81:G81"/>
    <mergeCell ref="C82:G82"/>
    <mergeCell ref="C83:G83"/>
    <mergeCell ref="C84:G84"/>
    <mergeCell ref="C85:G85"/>
    <mergeCell ref="A47:G47"/>
    <mergeCell ref="B45:G45"/>
    <mergeCell ref="A69:B69"/>
    <mergeCell ref="A87:B87"/>
    <mergeCell ref="A40:A42"/>
    <mergeCell ref="B40:B42"/>
    <mergeCell ref="A43:A44"/>
    <mergeCell ref="A81:B81"/>
    <mergeCell ref="A82:B82"/>
    <mergeCell ref="A83:B83"/>
    <mergeCell ref="A84:B84"/>
    <mergeCell ref="A51:B51"/>
    <mergeCell ref="A52:B52"/>
    <mergeCell ref="A53:B53"/>
    <mergeCell ref="A54:B54"/>
    <mergeCell ref="A55:B55"/>
    <mergeCell ref="A56:B56"/>
    <mergeCell ref="A58:B58"/>
    <mergeCell ref="A59:B59"/>
    <mergeCell ref="A63:B63"/>
    <mergeCell ref="A64:B64"/>
    <mergeCell ref="A65:B65"/>
    <mergeCell ref="A66:B66"/>
    <mergeCell ref="A50:B50"/>
  </mergeCells>
  <dataValidations count="5">
    <dataValidation type="list" allowBlank="1" showInputMessage="1" promptTitle="Choisir entre options tarifaires" prompt="   1. décaissement initial faible (18 300 € HT / pl) et frais de gestion annuels élevés_x000a_   2. décaissement initial élevé (21 650€ HT / pl) et frais de gestion annuels faibles" sqref="C56">
      <formula1>"18300,21650"</formula1>
    </dataValidation>
    <dataValidation type="list" allowBlank="1" showInputMessage="1" showErrorMessage="1" sqref="D27 D29:D32 D34:D36 D38:D44">
      <formula1>"OUI,NON"</formula1>
    </dataValidation>
    <dataValidation type="whole" operator="lessThanOrEqual" allowBlank="1" showDropDown="1" showInputMessage="1" showErrorMessage="1" error="doit être inférieur ou égal au total de places B21+C21+E21+F21" prompt="Renseigner le nombre de places réalisé sur l'opération s'il est fait le choix de ne pas les positionner exclusivement hors site (concession longue durée)" sqref="D60">
      <formula1>SUM(B21,C21,E21,F21)</formula1>
    </dataValidation>
    <dataValidation type="whole" operator="lessThanOrEqual" allowBlank="1" showInputMessage="1" showErrorMessage="1" error="23 800 € TTC max" prompt="23 800 € TTC max" sqref="C76">
      <formula1>23800</formula1>
    </dataValidation>
    <dataValidation type="list" allowBlank="1" showInputMessage="1" showErrorMessage="1" promptTitle="Choisir entre options" prompt="   - 2 250 € sans pk ou avec pk aérien_x000a_   - 2 300 € avec pk en ouvrage" sqref="B22">
      <formula1>"2250,2300"</formula1>
    </dataValidation>
  </dataValidations>
  <pageMargins left="0.23622047244094491" right="0.23622047244094491" top="0.74803149606299213" bottom="0.74803149606299213" header="0" footer="0"/>
  <pageSetup paperSize="8" scale="57" fitToHeight="0"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Z1002"/>
  <sheetViews>
    <sheetView zoomScaleNormal="100" workbookViewId="0">
      <pane ySplit="5" topLeftCell="A6" activePane="bottomLeft" state="frozenSplit"/>
      <selection activeCell="G1" sqref="G1"/>
      <selection pane="bottomLeft" activeCell="D11" sqref="D11"/>
    </sheetView>
  </sheetViews>
  <sheetFormatPr baseColWidth="10" defaultColWidth="14.44140625" defaultRowHeight="14.4"/>
  <cols>
    <col min="1" max="1" width="48.44140625" bestFit="1" customWidth="1"/>
    <col min="2" max="2" width="31.21875" bestFit="1" customWidth="1"/>
    <col min="3" max="3" width="40.21875" bestFit="1" customWidth="1"/>
    <col min="4" max="4" width="14.77734375" customWidth="1"/>
    <col min="5" max="6" width="31.21875" customWidth="1"/>
    <col min="7" max="7" width="53.5546875" customWidth="1"/>
    <col min="8" max="26" width="10.77734375" customWidth="1"/>
  </cols>
  <sheetData>
    <row r="1" spans="1:26" ht="86.25" customHeight="1" thickBot="1">
      <c r="A1" s="143" t="s">
        <v>147</v>
      </c>
      <c r="B1" s="11" t="s">
        <v>39</v>
      </c>
      <c r="C1" s="376" t="s">
        <v>40</v>
      </c>
      <c r="D1" s="377"/>
      <c r="E1" s="12">
        <f>E22*0.65+3338*75/70*1.055*0.35</f>
        <v>4268.3462499999996</v>
      </c>
      <c r="F1" s="13" t="s">
        <v>41</v>
      </c>
      <c r="G1" s="123"/>
      <c r="H1" s="14"/>
      <c r="I1" s="14"/>
    </row>
    <row r="2" spans="1:26" ht="14.25" customHeight="1" thickBot="1">
      <c r="A2" s="15" t="str">
        <f>B10</f>
        <v>Locatif social</v>
      </c>
      <c r="B2" s="16">
        <v>0.35</v>
      </c>
      <c r="C2" s="378" t="s">
        <v>42</v>
      </c>
      <c r="D2" s="379"/>
      <c r="E2" s="385">
        <f>(SUM(F69,F71,F73:F74)/(C17+E17))</f>
        <v>4184.4827472527477</v>
      </c>
      <c r="F2" s="17"/>
      <c r="G2" s="5"/>
      <c r="H2" s="14"/>
      <c r="I2" s="14"/>
    </row>
    <row r="3" spans="1:26" ht="14.25" customHeight="1" thickBot="1">
      <c r="A3" s="18" t="str">
        <f>C10</f>
        <v>Accession encadrée</v>
      </c>
      <c r="B3" s="19">
        <v>0.2</v>
      </c>
      <c r="C3" s="380"/>
      <c r="D3" s="379"/>
      <c r="E3" s="316"/>
      <c r="F3" s="5"/>
      <c r="G3" s="5"/>
      <c r="H3" s="14"/>
      <c r="I3" s="14"/>
    </row>
    <row r="4" spans="1:26" ht="14.25" customHeight="1" thickBot="1">
      <c r="A4" s="18" t="str">
        <f>E10</f>
        <v>Libre VAD</v>
      </c>
      <c r="B4" s="19">
        <v>0.45</v>
      </c>
      <c r="C4" s="380"/>
      <c r="D4" s="379"/>
      <c r="E4" s="316"/>
      <c r="F4" s="5"/>
      <c r="G4" s="5"/>
      <c r="H4" s="14"/>
      <c r="I4" s="14"/>
    </row>
    <row r="5" spans="1:26" ht="14.25" customHeight="1" thickBot="1">
      <c r="A5" s="18" t="str">
        <f>F10</f>
        <v>Vente en bloc (LLI et résidences gérées)</v>
      </c>
      <c r="B5" s="19">
        <v>0</v>
      </c>
      <c r="C5" s="381"/>
      <c r="D5" s="382"/>
      <c r="E5" s="386"/>
      <c r="F5" s="5"/>
      <c r="G5" s="5"/>
      <c r="H5" s="14"/>
      <c r="I5" s="14"/>
    </row>
    <row r="6" spans="1:26" ht="14.25" customHeight="1">
      <c r="A6" s="20"/>
      <c r="B6" s="20"/>
      <c r="C6" s="5"/>
      <c r="D6" s="5"/>
      <c r="E6" s="5"/>
      <c r="F6" s="5"/>
      <c r="G6" s="5"/>
      <c r="H6" s="14"/>
      <c r="I6" s="14"/>
    </row>
    <row r="7" spans="1:26" ht="21">
      <c r="A7" s="343" t="s">
        <v>43</v>
      </c>
      <c r="B7" s="343"/>
      <c r="C7" s="343"/>
      <c r="D7" s="343"/>
      <c r="E7" s="343"/>
      <c r="F7" s="343"/>
      <c r="G7" s="343"/>
      <c r="H7" s="152"/>
      <c r="I7" s="152"/>
      <c r="J7" s="152"/>
      <c r="K7" s="152"/>
      <c r="L7" s="152"/>
      <c r="M7" s="152"/>
      <c r="N7" s="152"/>
      <c r="O7" s="152"/>
      <c r="P7" s="152"/>
      <c r="Q7" s="152"/>
      <c r="R7" s="152"/>
      <c r="S7" s="152"/>
      <c r="T7" s="152"/>
      <c r="U7" s="152"/>
      <c r="V7" s="152"/>
      <c r="W7" s="152"/>
      <c r="X7" s="152"/>
      <c r="Y7" s="152"/>
      <c r="Z7" s="152"/>
    </row>
    <row r="8" spans="1:26" ht="14.25" customHeight="1">
      <c r="A8" s="21" t="s">
        <v>44</v>
      </c>
      <c r="B8" s="22">
        <v>7000</v>
      </c>
      <c r="C8" s="23"/>
      <c r="D8" s="3"/>
      <c r="E8" s="24"/>
      <c r="F8" s="25"/>
      <c r="G8" s="25"/>
      <c r="H8" s="27"/>
      <c r="I8" s="28"/>
      <c r="J8" s="3"/>
      <c r="K8" s="3"/>
      <c r="L8" s="3"/>
      <c r="M8" s="3"/>
      <c r="N8" s="3"/>
      <c r="O8" s="3"/>
      <c r="P8" s="3"/>
      <c r="Q8" s="3"/>
      <c r="R8" s="3"/>
      <c r="S8" s="3"/>
      <c r="T8" s="3"/>
      <c r="U8" s="3"/>
      <c r="V8" s="3"/>
      <c r="W8" s="3"/>
      <c r="X8" s="3"/>
      <c r="Y8" s="3"/>
      <c r="Z8" s="3"/>
    </row>
    <row r="9" spans="1:26" ht="14.25" customHeight="1">
      <c r="A9" s="21" t="s">
        <v>45</v>
      </c>
      <c r="B9" s="6">
        <v>100</v>
      </c>
      <c r="C9" s="23"/>
      <c r="D9" s="3"/>
      <c r="E9" s="24"/>
      <c r="F9" s="25"/>
      <c r="G9" s="25"/>
      <c r="H9" s="27"/>
      <c r="I9" s="28"/>
      <c r="J9" s="3"/>
      <c r="K9" s="3"/>
      <c r="L9" s="3"/>
      <c r="M9" s="3"/>
      <c r="N9" s="3"/>
      <c r="O9" s="3"/>
      <c r="P9" s="3"/>
      <c r="Q9" s="3"/>
      <c r="R9" s="3"/>
      <c r="S9" s="3"/>
      <c r="T9" s="3"/>
      <c r="U9" s="3"/>
      <c r="V9" s="3"/>
      <c r="W9" s="3"/>
      <c r="X9" s="3"/>
      <c r="Y9" s="3"/>
      <c r="Z9" s="3"/>
    </row>
    <row r="10" spans="1:26" ht="14.25" customHeight="1">
      <c r="A10" s="29"/>
      <c r="B10" s="387" t="s">
        <v>46</v>
      </c>
      <c r="C10" s="402" t="s">
        <v>9</v>
      </c>
      <c r="D10" s="384"/>
      <c r="E10" s="389" t="s">
        <v>47</v>
      </c>
      <c r="F10" s="387" t="s">
        <v>48</v>
      </c>
      <c r="G10" s="392" t="s">
        <v>49</v>
      </c>
      <c r="H10" s="27"/>
      <c r="I10" s="28"/>
      <c r="J10" s="3"/>
      <c r="K10" s="3"/>
      <c r="L10" s="3"/>
      <c r="M10" s="3"/>
      <c r="N10" s="3"/>
      <c r="O10" s="3"/>
      <c r="P10" s="3"/>
      <c r="Q10" s="3"/>
      <c r="R10" s="3"/>
      <c r="S10" s="3"/>
      <c r="T10" s="3"/>
      <c r="U10" s="3"/>
      <c r="V10" s="3"/>
      <c r="W10" s="3"/>
      <c r="X10" s="3"/>
      <c r="Y10" s="3"/>
      <c r="Z10" s="3"/>
    </row>
    <row r="11" spans="1:26" ht="14.25" customHeight="1">
      <c r="A11" s="24"/>
      <c r="B11" s="388"/>
      <c r="C11" s="30" t="s">
        <v>50</v>
      </c>
      <c r="D11" s="134">
        <v>0.1</v>
      </c>
      <c r="E11" s="390"/>
      <c r="F11" s="388"/>
      <c r="G11" s="388"/>
      <c r="H11" s="8"/>
      <c r="I11" s="28"/>
      <c r="J11" s="5"/>
      <c r="K11" s="5"/>
      <c r="L11" s="5"/>
      <c r="M11" s="5"/>
      <c r="N11" s="5"/>
      <c r="O11" s="5"/>
      <c r="P11" s="5"/>
      <c r="Q11" s="5"/>
      <c r="R11" s="5"/>
      <c r="S11" s="5"/>
      <c r="T11" s="5"/>
      <c r="U11" s="5"/>
      <c r="V11" s="5"/>
      <c r="W11" s="5"/>
      <c r="X11" s="5"/>
      <c r="Y11" s="5"/>
      <c r="Z11" s="5"/>
    </row>
    <row r="12" spans="1:26" ht="14.25" customHeight="1">
      <c r="A12" s="24"/>
      <c r="B12" s="388"/>
      <c r="C12" s="32" t="s">
        <v>51</v>
      </c>
      <c r="D12" s="135">
        <v>0</v>
      </c>
      <c r="E12" s="390"/>
      <c r="F12" s="388"/>
      <c r="G12" s="388"/>
      <c r="H12" s="8"/>
      <c r="I12" s="28"/>
      <c r="J12" s="5"/>
      <c r="K12" s="5"/>
      <c r="L12" s="5"/>
      <c r="M12" s="5"/>
      <c r="N12" s="5"/>
      <c r="O12" s="5"/>
      <c r="P12" s="5"/>
      <c r="Q12" s="5"/>
      <c r="R12" s="5"/>
      <c r="S12" s="5"/>
      <c r="T12" s="5"/>
      <c r="U12" s="5"/>
      <c r="V12" s="5"/>
      <c r="W12" s="5"/>
      <c r="X12" s="5"/>
      <c r="Y12" s="5"/>
      <c r="Z12" s="5"/>
    </row>
    <row r="13" spans="1:26" ht="14.25" customHeight="1">
      <c r="A13" s="24"/>
      <c r="B13" s="388"/>
      <c r="C13" s="32" t="s">
        <v>52</v>
      </c>
      <c r="D13" s="135">
        <v>0.1</v>
      </c>
      <c r="E13" s="390"/>
      <c r="F13" s="388"/>
      <c r="G13" s="388"/>
      <c r="H13" s="8"/>
      <c r="I13" s="28"/>
      <c r="J13" s="5"/>
      <c r="K13" s="5"/>
      <c r="L13" s="5"/>
      <c r="M13" s="5"/>
      <c r="N13" s="5"/>
      <c r="O13" s="5"/>
      <c r="P13" s="5"/>
      <c r="Q13" s="5"/>
      <c r="R13" s="5"/>
      <c r="S13" s="5"/>
      <c r="T13" s="5"/>
      <c r="U13" s="5"/>
      <c r="V13" s="5"/>
      <c r="W13" s="5"/>
      <c r="X13" s="5"/>
      <c r="Y13" s="5"/>
      <c r="Z13" s="5"/>
    </row>
    <row r="14" spans="1:26" ht="14.25" customHeight="1">
      <c r="A14" s="24"/>
      <c r="B14" s="366"/>
      <c r="C14" s="33" t="s">
        <v>53</v>
      </c>
      <c r="D14" s="34">
        <f>C15-SUM(D11:D13)</f>
        <v>0</v>
      </c>
      <c r="E14" s="391"/>
      <c r="F14" s="366"/>
      <c r="G14" s="366"/>
      <c r="H14" s="8"/>
      <c r="I14" s="28"/>
      <c r="J14" s="5"/>
      <c r="K14" s="5"/>
      <c r="L14" s="5"/>
      <c r="M14" s="5"/>
      <c r="N14" s="5"/>
      <c r="O14" s="5"/>
      <c r="P14" s="5"/>
      <c r="Q14" s="5"/>
      <c r="R14" s="5"/>
      <c r="S14" s="5"/>
      <c r="T14" s="5"/>
      <c r="U14" s="5"/>
      <c r="V14" s="5"/>
      <c r="W14" s="5"/>
      <c r="X14" s="5"/>
      <c r="Y14" s="5"/>
      <c r="Z14" s="5"/>
    </row>
    <row r="15" spans="1:26" ht="14.25" customHeight="1">
      <c r="A15" s="35" t="s">
        <v>54</v>
      </c>
      <c r="B15" s="36">
        <f>B2</f>
        <v>0.35</v>
      </c>
      <c r="C15" s="393">
        <f>B3</f>
        <v>0.2</v>
      </c>
      <c r="D15" s="394"/>
      <c r="E15" s="37">
        <f>B4</f>
        <v>0.45</v>
      </c>
      <c r="F15" s="37">
        <f>B5</f>
        <v>0</v>
      </c>
      <c r="G15" s="38"/>
      <c r="H15" s="8"/>
      <c r="I15" s="28"/>
      <c r="J15" s="5"/>
      <c r="K15" s="5"/>
      <c r="L15" s="5"/>
      <c r="M15" s="5"/>
      <c r="N15" s="5"/>
      <c r="O15" s="5"/>
      <c r="P15" s="5"/>
      <c r="Q15" s="5"/>
      <c r="R15" s="5"/>
      <c r="S15" s="5"/>
      <c r="T15" s="5"/>
      <c r="U15" s="5"/>
      <c r="V15" s="5"/>
      <c r="W15" s="5"/>
      <c r="X15" s="5"/>
      <c r="Y15" s="5"/>
      <c r="Z15" s="5"/>
    </row>
    <row r="16" spans="1:26" ht="14.25" customHeight="1">
      <c r="A16" s="39" t="s">
        <v>55</v>
      </c>
      <c r="B16" s="40">
        <f t="shared" ref="B16:C16" si="0">B15*$B$8</f>
        <v>2450</v>
      </c>
      <c r="C16" s="395">
        <f t="shared" si="0"/>
        <v>1400</v>
      </c>
      <c r="D16" s="396"/>
      <c r="E16" s="40">
        <f t="shared" ref="E16:F16" si="1">E15*$B$8</f>
        <v>3150</v>
      </c>
      <c r="F16" s="40">
        <f t="shared" si="1"/>
        <v>0</v>
      </c>
      <c r="G16" s="41"/>
      <c r="H16" s="8"/>
      <c r="I16" s="43"/>
      <c r="J16" s="5"/>
      <c r="K16" s="5"/>
      <c r="L16" s="5"/>
      <c r="M16" s="5"/>
      <c r="N16" s="5"/>
      <c r="O16" s="5"/>
      <c r="P16" s="5"/>
      <c r="Q16" s="5"/>
      <c r="R16" s="5"/>
      <c r="S16" s="5"/>
      <c r="T16" s="5"/>
      <c r="U16" s="5"/>
      <c r="V16" s="5"/>
      <c r="W16" s="5"/>
      <c r="X16" s="5"/>
      <c r="Y16" s="5"/>
      <c r="Z16" s="5"/>
    </row>
    <row r="17" spans="1:26" ht="14.25" customHeight="1">
      <c r="A17" s="44" t="s">
        <v>56</v>
      </c>
      <c r="B17" s="45">
        <f t="shared" ref="B17:C17" si="2">0.9*B16</f>
        <v>2205</v>
      </c>
      <c r="C17" s="397">
        <f t="shared" si="2"/>
        <v>1260</v>
      </c>
      <c r="D17" s="398"/>
      <c r="E17" s="45">
        <f t="shared" ref="E17:F17" si="3">0.9*E16</f>
        <v>2835</v>
      </c>
      <c r="F17" s="45">
        <f t="shared" si="3"/>
        <v>0</v>
      </c>
      <c r="G17" s="46" t="s">
        <v>57</v>
      </c>
      <c r="H17" s="8"/>
      <c r="I17" s="43"/>
      <c r="J17" s="5"/>
      <c r="K17" s="5"/>
      <c r="L17" s="5"/>
      <c r="M17" s="5"/>
      <c r="N17" s="5"/>
      <c r="O17" s="5"/>
      <c r="P17" s="5"/>
      <c r="Q17" s="5"/>
      <c r="R17" s="5"/>
      <c r="S17" s="5"/>
      <c r="T17" s="5"/>
      <c r="U17" s="5"/>
      <c r="V17" s="5"/>
      <c r="W17" s="5"/>
      <c r="X17" s="5"/>
      <c r="Y17" s="5"/>
      <c r="Z17" s="5"/>
    </row>
    <row r="18" spans="1:26" ht="14.25" customHeight="1">
      <c r="A18" s="47" t="s">
        <v>58</v>
      </c>
      <c r="B18" s="48">
        <f t="shared" ref="B18:C18" si="4">ROUND(B17*75/70,0)</f>
        <v>2363</v>
      </c>
      <c r="C18" s="399">
        <f t="shared" si="4"/>
        <v>1350</v>
      </c>
      <c r="D18" s="400"/>
      <c r="E18" s="48">
        <f t="shared" ref="E18:F18" si="5">ROUND(E17*75/70,0)</f>
        <v>3038</v>
      </c>
      <c r="F18" s="48">
        <f t="shared" si="5"/>
        <v>0</v>
      </c>
      <c r="G18" s="49" t="s">
        <v>59</v>
      </c>
      <c r="H18" s="8"/>
      <c r="I18" s="43"/>
      <c r="J18" s="5"/>
      <c r="K18" s="5"/>
      <c r="L18" s="5"/>
      <c r="M18" s="5"/>
      <c r="N18" s="5"/>
      <c r="O18" s="5"/>
      <c r="P18" s="5"/>
      <c r="Q18" s="5"/>
      <c r="R18" s="5"/>
      <c r="S18" s="5"/>
      <c r="T18" s="5"/>
      <c r="U18" s="5"/>
      <c r="V18" s="5"/>
      <c r="W18" s="5"/>
      <c r="X18" s="5"/>
      <c r="Y18" s="5"/>
      <c r="Z18" s="5"/>
    </row>
    <row r="19" spans="1:26" ht="14.25" customHeight="1">
      <c r="A19" s="50" t="s">
        <v>60</v>
      </c>
      <c r="B19" s="51">
        <v>250</v>
      </c>
      <c r="C19" s="401" t="str">
        <f>IF($C$15=0,0,ROUND((350*D11+275*SUM(D12:D14))/C15,0))&amp;" € (350 € BRS et 275 € autres produits)"</f>
        <v>313 € (350 € BRS et 275 € autres produits)</v>
      </c>
      <c r="D19" s="364"/>
      <c r="E19" s="51">
        <v>650</v>
      </c>
      <c r="F19" s="51">
        <v>650</v>
      </c>
      <c r="G19" s="52"/>
      <c r="H19" s="8"/>
      <c r="I19" s="43"/>
      <c r="J19" s="5"/>
      <c r="K19" s="5"/>
      <c r="L19" s="5"/>
      <c r="M19" s="5"/>
      <c r="N19" s="5"/>
      <c r="O19" s="5"/>
      <c r="P19" s="5"/>
      <c r="Q19" s="5"/>
      <c r="R19" s="5"/>
      <c r="S19" s="5"/>
      <c r="T19" s="5"/>
      <c r="U19" s="5"/>
      <c r="V19" s="5"/>
      <c r="W19" s="5"/>
      <c r="X19" s="5"/>
      <c r="Y19" s="5"/>
      <c r="Z19" s="5"/>
    </row>
    <row r="20" spans="1:26" ht="14.25" customHeight="1">
      <c r="A20" s="50" t="s">
        <v>61</v>
      </c>
      <c r="B20" s="53">
        <f t="shared" ref="B20:C20" si="6">B15*$B$9</f>
        <v>35</v>
      </c>
      <c r="C20" s="363">
        <f t="shared" si="6"/>
        <v>20</v>
      </c>
      <c r="D20" s="364"/>
      <c r="E20" s="53">
        <f t="shared" ref="E20:F20" si="7">E15*$B$9</f>
        <v>45</v>
      </c>
      <c r="F20" s="53">
        <f t="shared" si="7"/>
        <v>0</v>
      </c>
      <c r="G20" s="52"/>
      <c r="H20" s="54"/>
      <c r="I20" s="55"/>
      <c r="J20" s="5"/>
      <c r="K20" s="5"/>
      <c r="L20" s="5"/>
      <c r="M20" s="5"/>
      <c r="N20" s="5"/>
      <c r="O20" s="5"/>
      <c r="P20" s="5"/>
      <c r="Q20" s="5"/>
      <c r="R20" s="5"/>
      <c r="S20" s="5"/>
      <c r="T20" s="5"/>
      <c r="U20" s="5"/>
      <c r="V20" s="5"/>
      <c r="W20" s="5"/>
      <c r="X20" s="5"/>
      <c r="Y20" s="5"/>
      <c r="Z20" s="5"/>
    </row>
    <row r="21" spans="1:26" ht="14.25" customHeight="1">
      <c r="A21" s="50" t="s">
        <v>62</v>
      </c>
      <c r="B21" s="53">
        <f>ROUND(B20*0.5,0)</f>
        <v>18</v>
      </c>
      <c r="C21" s="363">
        <f>ROUND(C20*0.7,0)</f>
        <v>14</v>
      </c>
      <c r="D21" s="364"/>
      <c r="E21" s="53">
        <f t="shared" ref="E21:F21" si="8">ROUND(E20*0.7,0)</f>
        <v>32</v>
      </c>
      <c r="F21" s="53">
        <f t="shared" si="8"/>
        <v>0</v>
      </c>
      <c r="G21" s="52" t="s">
        <v>146</v>
      </c>
      <c r="H21" s="54"/>
      <c r="I21" s="55"/>
      <c r="J21" s="5"/>
      <c r="K21" s="5"/>
      <c r="L21" s="5"/>
      <c r="M21" s="5"/>
      <c r="N21" s="5"/>
      <c r="O21" s="5"/>
      <c r="P21" s="5"/>
      <c r="Q21" s="5"/>
      <c r="R21" s="5"/>
      <c r="S21" s="5"/>
      <c r="T21" s="5"/>
      <c r="U21" s="5"/>
      <c r="V21" s="5"/>
      <c r="W21" s="5"/>
      <c r="X21" s="5"/>
      <c r="Y21" s="5"/>
      <c r="Z21" s="5"/>
    </row>
    <row r="22" spans="1:26" ht="14.25" customHeight="1">
      <c r="A22" s="365" t="s">
        <v>63</v>
      </c>
      <c r="B22" s="247">
        <v>2300</v>
      </c>
      <c r="C22" s="403" t="s">
        <v>64</v>
      </c>
      <c r="D22" s="368"/>
      <c r="E22" s="140">
        <v>4535</v>
      </c>
      <c r="F22" s="136"/>
      <c r="G22" s="56"/>
      <c r="H22" s="54"/>
      <c r="I22" s="55"/>
      <c r="J22" s="5"/>
      <c r="K22" s="5"/>
      <c r="L22" s="5"/>
      <c r="M22" s="5"/>
      <c r="N22" s="5"/>
      <c r="O22" s="5"/>
      <c r="P22" s="5"/>
      <c r="Q22" s="5"/>
      <c r="R22" s="5"/>
      <c r="S22" s="5"/>
      <c r="T22" s="5"/>
      <c r="U22" s="5"/>
      <c r="V22" s="5"/>
      <c r="W22" s="5"/>
      <c r="X22" s="5"/>
      <c r="Y22" s="5"/>
      <c r="Z22" s="5"/>
    </row>
    <row r="23" spans="1:26" ht="60">
      <c r="A23" s="366"/>
      <c r="B23" s="57" t="s">
        <v>65</v>
      </c>
      <c r="C23" s="369"/>
      <c r="D23" s="370"/>
      <c r="E23" s="57" t="s">
        <v>66</v>
      </c>
      <c r="F23" s="57"/>
      <c r="G23" s="58"/>
      <c r="H23" s="5"/>
      <c r="I23" s="5"/>
      <c r="J23" s="5"/>
      <c r="K23" s="5"/>
      <c r="L23" s="5"/>
      <c r="M23" s="5"/>
      <c r="N23" s="5"/>
      <c r="O23" s="5"/>
      <c r="P23" s="5"/>
      <c r="Q23" s="5"/>
      <c r="R23" s="5"/>
      <c r="S23" s="5"/>
      <c r="T23" s="5"/>
      <c r="U23" s="5"/>
      <c r="V23" s="5"/>
      <c r="W23" s="5"/>
      <c r="X23" s="5"/>
      <c r="Y23" s="5"/>
      <c r="Z23" s="5"/>
    </row>
    <row r="24" spans="1:26" ht="14.25" customHeight="1">
      <c r="A24" s="5"/>
      <c r="B24" s="5"/>
      <c r="C24" s="5"/>
      <c r="D24" s="5"/>
      <c r="E24" s="5"/>
      <c r="F24" s="142"/>
      <c r="G24" s="142"/>
    </row>
    <row r="25" spans="1:26" ht="21">
      <c r="A25" s="343" t="s">
        <v>67</v>
      </c>
      <c r="B25" s="343"/>
      <c r="C25" s="343"/>
      <c r="D25" s="343"/>
      <c r="E25" s="343"/>
      <c r="F25" s="343"/>
      <c r="G25" s="343"/>
      <c r="H25" s="152"/>
      <c r="I25" s="152"/>
      <c r="J25" s="152"/>
      <c r="K25" s="152"/>
      <c r="L25" s="152"/>
      <c r="M25" s="152"/>
      <c r="N25" s="152"/>
      <c r="O25" s="152"/>
      <c r="P25" s="152"/>
      <c r="Q25" s="152"/>
      <c r="R25" s="152"/>
      <c r="S25" s="152"/>
      <c r="T25" s="152"/>
      <c r="U25" s="152"/>
      <c r="V25" s="152"/>
      <c r="W25" s="152"/>
      <c r="X25" s="152"/>
      <c r="Y25" s="152"/>
      <c r="Z25" s="152"/>
    </row>
    <row r="26" spans="1:26" ht="33.75" customHeight="1">
      <c r="A26" s="59" t="s">
        <v>68</v>
      </c>
      <c r="B26" s="60" t="s">
        <v>69</v>
      </c>
      <c r="C26" s="61" t="s">
        <v>70</v>
      </c>
      <c r="D26" s="61" t="s">
        <v>71</v>
      </c>
      <c r="E26" s="371" t="s">
        <v>72</v>
      </c>
      <c r="F26" s="372"/>
      <c r="G26" s="320"/>
    </row>
    <row r="27" spans="1:26" ht="30.6">
      <c r="A27" s="62" t="s">
        <v>73</v>
      </c>
      <c r="B27" s="198" t="s">
        <v>193</v>
      </c>
      <c r="C27" s="64"/>
      <c r="D27" s="194" t="s">
        <v>74</v>
      </c>
      <c r="E27" s="373"/>
      <c r="F27" s="374"/>
      <c r="G27" s="375"/>
    </row>
    <row r="28" spans="1:26">
      <c r="A28" s="65" t="s">
        <v>75</v>
      </c>
      <c r="B28" s="66"/>
      <c r="C28" s="67"/>
      <c r="D28" s="65"/>
      <c r="E28" s="68"/>
      <c r="F28" s="68"/>
      <c r="G28" s="68"/>
    </row>
    <row r="29" spans="1:26" ht="28.8">
      <c r="A29" s="69" t="s">
        <v>76</v>
      </c>
      <c r="B29" s="70" t="s">
        <v>77</v>
      </c>
      <c r="C29" s="71"/>
      <c r="D29" s="194" t="s">
        <v>74</v>
      </c>
      <c r="E29" s="334"/>
      <c r="F29" s="335"/>
      <c r="G29" s="336"/>
    </row>
    <row r="30" spans="1:26" ht="24">
      <c r="A30" s="72" t="s">
        <v>78</v>
      </c>
      <c r="B30" s="73" t="s">
        <v>79</v>
      </c>
      <c r="C30" s="200" t="s">
        <v>197</v>
      </c>
      <c r="D30" s="194" t="s">
        <v>74</v>
      </c>
      <c r="E30" s="337"/>
      <c r="F30" s="338"/>
      <c r="G30" s="339"/>
    </row>
    <row r="31" spans="1:26" ht="24">
      <c r="A31" s="72" t="s">
        <v>80</v>
      </c>
      <c r="B31" s="73" t="s">
        <v>79</v>
      </c>
      <c r="C31" s="200" t="s">
        <v>198</v>
      </c>
      <c r="D31" s="194" t="s">
        <v>74</v>
      </c>
      <c r="E31" s="337"/>
      <c r="F31" s="338"/>
      <c r="G31" s="339"/>
    </row>
    <row r="32" spans="1:26" ht="28.8">
      <c r="A32" s="74" t="s">
        <v>81</v>
      </c>
      <c r="B32" s="75" t="s">
        <v>82</v>
      </c>
      <c r="C32" s="201" t="s">
        <v>199</v>
      </c>
      <c r="D32" s="194" t="s">
        <v>74</v>
      </c>
      <c r="E32" s="357"/>
      <c r="F32" s="358"/>
      <c r="G32" s="359"/>
    </row>
    <row r="33" spans="1:26">
      <c r="A33" s="76" t="s">
        <v>83</v>
      </c>
      <c r="B33" s="77"/>
      <c r="C33" s="78"/>
      <c r="D33" s="79"/>
      <c r="E33" s="80"/>
      <c r="F33" s="80"/>
      <c r="G33" s="80"/>
    </row>
    <row r="34" spans="1:26" ht="36">
      <c r="A34" s="196" t="s">
        <v>191</v>
      </c>
      <c r="B34" s="81" t="s">
        <v>84</v>
      </c>
      <c r="C34" s="82" t="s">
        <v>85</v>
      </c>
      <c r="D34" s="194" t="s">
        <v>74</v>
      </c>
      <c r="E34" s="360"/>
      <c r="F34" s="361"/>
      <c r="G34" s="362"/>
    </row>
    <row r="35" spans="1:26" ht="28.8">
      <c r="A35" s="72" t="s">
        <v>86</v>
      </c>
      <c r="B35" s="83" t="s">
        <v>87</v>
      </c>
      <c r="C35" s="84" t="s">
        <v>88</v>
      </c>
      <c r="D35" s="194" t="s">
        <v>74</v>
      </c>
      <c r="E35" s="337"/>
      <c r="F35" s="338"/>
      <c r="G35" s="339"/>
    </row>
    <row r="36" spans="1:26" ht="28.8">
      <c r="A36" s="74" t="s">
        <v>89</v>
      </c>
      <c r="B36" s="63" t="s">
        <v>90</v>
      </c>
      <c r="C36" s="64"/>
      <c r="D36" s="194" t="s">
        <v>74</v>
      </c>
      <c r="E36" s="337"/>
      <c r="F36" s="338"/>
      <c r="G36" s="339"/>
    </row>
    <row r="37" spans="1:26">
      <c r="A37" s="85" t="s">
        <v>91</v>
      </c>
      <c r="B37" s="86"/>
      <c r="C37" s="87"/>
      <c r="D37" s="85"/>
      <c r="E37" s="88"/>
      <c r="F37" s="88"/>
      <c r="G37" s="88"/>
    </row>
    <row r="38" spans="1:26" ht="23.4">
      <c r="A38" s="346" t="s">
        <v>92</v>
      </c>
      <c r="B38" s="347" t="s">
        <v>93</v>
      </c>
      <c r="C38" s="199" t="s">
        <v>194</v>
      </c>
      <c r="D38" s="194" t="s">
        <v>74</v>
      </c>
      <c r="E38" s="334"/>
      <c r="F38" s="335"/>
      <c r="G38" s="336"/>
    </row>
    <row r="39" spans="1:26" ht="23.4">
      <c r="A39" s="317"/>
      <c r="B39" s="317"/>
      <c r="C39" s="197" t="s">
        <v>195</v>
      </c>
      <c r="D39" s="194" t="s">
        <v>74</v>
      </c>
      <c r="E39" s="337"/>
      <c r="F39" s="338"/>
      <c r="G39" s="339"/>
    </row>
    <row r="40" spans="1:26" ht="23.4">
      <c r="A40" s="315" t="s">
        <v>94</v>
      </c>
      <c r="B40" s="318" t="s">
        <v>95</v>
      </c>
      <c r="C40" s="84" t="s">
        <v>96</v>
      </c>
      <c r="D40" s="194" t="s">
        <v>74</v>
      </c>
      <c r="E40" s="337"/>
      <c r="F40" s="338"/>
      <c r="G40" s="339"/>
    </row>
    <row r="41" spans="1:26" ht="23.4">
      <c r="A41" s="316"/>
      <c r="B41" s="316"/>
      <c r="C41" s="84" t="s">
        <v>97</v>
      </c>
      <c r="D41" s="194" t="s">
        <v>74</v>
      </c>
      <c r="E41" s="337"/>
      <c r="F41" s="338"/>
      <c r="G41" s="339"/>
    </row>
    <row r="42" spans="1:26" ht="23.4">
      <c r="A42" s="317"/>
      <c r="B42" s="317"/>
      <c r="C42" s="197" t="s">
        <v>192</v>
      </c>
      <c r="D42" s="194" t="s">
        <v>74</v>
      </c>
      <c r="E42" s="337"/>
      <c r="F42" s="338"/>
      <c r="G42" s="339"/>
    </row>
    <row r="43" spans="1:26" ht="23.4">
      <c r="A43" s="315" t="s">
        <v>98</v>
      </c>
      <c r="B43" s="195" t="s">
        <v>190</v>
      </c>
      <c r="C43" s="84" t="s">
        <v>99</v>
      </c>
      <c r="D43" s="194" t="s">
        <v>74</v>
      </c>
      <c r="E43" s="337"/>
      <c r="F43" s="338"/>
      <c r="G43" s="339"/>
    </row>
    <row r="44" spans="1:26" ht="24">
      <c r="A44" s="317"/>
      <c r="B44" s="73" t="s">
        <v>100</v>
      </c>
      <c r="C44" s="89" t="s">
        <v>101</v>
      </c>
      <c r="D44" s="194" t="s">
        <v>74</v>
      </c>
      <c r="E44" s="337"/>
      <c r="F44" s="338"/>
      <c r="G44" s="339"/>
    </row>
    <row r="45" spans="1:26" ht="14.25" customHeight="1">
      <c r="A45" s="90"/>
      <c r="B45" s="344" t="s">
        <v>196</v>
      </c>
      <c r="C45" s="345"/>
      <c r="D45" s="345"/>
      <c r="E45" s="345"/>
      <c r="F45" s="345"/>
      <c r="G45" s="345"/>
      <c r="H45" s="2"/>
      <c r="I45" s="2"/>
      <c r="J45" s="2"/>
      <c r="K45" s="2"/>
      <c r="L45" s="2"/>
      <c r="M45" s="2"/>
      <c r="N45" s="2"/>
      <c r="O45" s="2"/>
      <c r="P45" s="2"/>
      <c r="Q45" s="2"/>
      <c r="R45" s="2"/>
      <c r="S45" s="2"/>
      <c r="T45" s="2"/>
      <c r="U45" s="2"/>
      <c r="V45" s="2"/>
      <c r="W45" s="2"/>
      <c r="X45" s="2"/>
      <c r="Y45" s="2"/>
      <c r="Z45" s="2"/>
    </row>
    <row r="46" spans="1:26" ht="14.25" customHeight="1">
      <c r="A46" s="94"/>
      <c r="B46" s="93"/>
      <c r="C46" s="91"/>
      <c r="D46" s="92"/>
      <c r="E46" s="91"/>
      <c r="F46" s="91"/>
      <c r="G46" s="91"/>
    </row>
    <row r="47" spans="1:26" ht="21">
      <c r="A47" s="343" t="s">
        <v>102</v>
      </c>
      <c r="B47" s="343"/>
      <c r="C47" s="343"/>
      <c r="D47" s="343"/>
      <c r="E47" s="343"/>
      <c r="F47" s="343"/>
      <c r="G47" s="343"/>
      <c r="H47" s="152"/>
      <c r="I47" s="152"/>
      <c r="J47" s="152"/>
      <c r="K47" s="152"/>
      <c r="L47" s="152"/>
      <c r="M47" s="152"/>
      <c r="N47" s="152"/>
      <c r="O47" s="152"/>
      <c r="P47" s="152"/>
      <c r="Q47" s="152"/>
      <c r="R47" s="152"/>
      <c r="S47" s="152"/>
      <c r="T47" s="152"/>
      <c r="U47" s="152"/>
      <c r="V47" s="152"/>
      <c r="W47" s="152"/>
      <c r="X47" s="152"/>
      <c r="Y47" s="152"/>
      <c r="Z47" s="152"/>
    </row>
    <row r="48" spans="1:26" ht="14.25" customHeight="1">
      <c r="A48" s="3" t="s">
        <v>103</v>
      </c>
      <c r="B48" s="3"/>
      <c r="C48" s="95" t="s">
        <v>104</v>
      </c>
      <c r="D48" s="95" t="s">
        <v>105</v>
      </c>
      <c r="E48" s="95" t="s">
        <v>106</v>
      </c>
      <c r="F48" s="95" t="s">
        <v>107</v>
      </c>
      <c r="G48" s="3" t="s">
        <v>49</v>
      </c>
    </row>
    <row r="49" spans="1:26" ht="14.25" customHeight="1">
      <c r="A49" s="150" t="s">
        <v>108</v>
      </c>
      <c r="B49" s="96"/>
      <c r="C49" s="96"/>
      <c r="D49" s="96"/>
      <c r="E49" s="97">
        <f t="shared" ref="E49:F49" si="9">E50+E56</f>
        <v>3097500</v>
      </c>
      <c r="F49" s="97">
        <f t="shared" si="9"/>
        <v>3564750</v>
      </c>
      <c r="G49" s="128">
        <f>F49/$F$77</f>
        <v>0.15673113326642604</v>
      </c>
      <c r="H49" s="1"/>
      <c r="I49" s="1"/>
      <c r="J49" s="1"/>
      <c r="K49" s="1"/>
      <c r="L49" s="1"/>
      <c r="M49" s="1"/>
      <c r="N49" s="1"/>
      <c r="O49" s="1"/>
      <c r="P49" s="1"/>
      <c r="Q49" s="1"/>
      <c r="R49" s="1"/>
      <c r="S49" s="1"/>
      <c r="T49" s="1"/>
      <c r="U49" s="1"/>
      <c r="V49" s="1"/>
      <c r="W49" s="1"/>
      <c r="X49" s="1"/>
      <c r="Y49" s="1"/>
      <c r="Z49" s="1"/>
    </row>
    <row r="50" spans="1:26" ht="14.25" customHeight="1">
      <c r="A50" s="312" t="s">
        <v>109</v>
      </c>
      <c r="B50" s="312"/>
      <c r="C50" s="99"/>
      <c r="D50" s="4"/>
      <c r="E50" s="100">
        <f t="shared" ref="E50:F50" si="10">SUM(E51:E55)</f>
        <v>3097500</v>
      </c>
      <c r="F50" s="100">
        <f t="shared" si="10"/>
        <v>3564750</v>
      </c>
      <c r="G50" s="101"/>
      <c r="H50" s="102"/>
      <c r="I50" s="102"/>
      <c r="J50" s="102"/>
      <c r="K50" s="102"/>
      <c r="L50" s="102"/>
      <c r="M50" s="102"/>
      <c r="N50" s="102"/>
      <c r="O50" s="102"/>
      <c r="P50" s="102"/>
      <c r="Q50" s="102"/>
      <c r="R50" s="102"/>
      <c r="S50" s="102"/>
      <c r="T50" s="102"/>
      <c r="U50" s="102"/>
      <c r="V50" s="102"/>
      <c r="W50" s="102"/>
      <c r="X50" s="102"/>
      <c r="Y50" s="102"/>
      <c r="Z50" s="102"/>
    </row>
    <row r="51" spans="1:26" ht="14.25" customHeight="1">
      <c r="A51" s="324" t="s">
        <v>110</v>
      </c>
      <c r="B51" s="324"/>
      <c r="C51" s="202">
        <f>B19</f>
        <v>250</v>
      </c>
      <c r="D51" s="203">
        <f>B15*$B$8</f>
        <v>2450</v>
      </c>
      <c r="E51" s="204">
        <f t="shared" ref="E51:E56" si="11">C51*D51</f>
        <v>612500</v>
      </c>
      <c r="F51" s="204">
        <f t="shared" ref="F51:F52" si="12">E51*1.055</f>
        <v>646187.5</v>
      </c>
      <c r="G51" s="205" t="s">
        <v>111</v>
      </c>
      <c r="H51" s="103"/>
      <c r="I51" s="103"/>
      <c r="J51" s="103"/>
      <c r="K51" s="103"/>
      <c r="L51" s="103"/>
      <c r="M51" s="103"/>
      <c r="N51" s="103"/>
      <c r="O51" s="103"/>
      <c r="P51" s="103"/>
      <c r="Q51" s="103"/>
      <c r="R51" s="103"/>
      <c r="S51" s="103"/>
      <c r="T51" s="103"/>
      <c r="U51" s="103"/>
      <c r="V51" s="103"/>
      <c r="W51" s="103"/>
      <c r="X51" s="103"/>
      <c r="Y51" s="103"/>
      <c r="Z51" s="103"/>
    </row>
    <row r="52" spans="1:26" ht="14.25" customHeight="1">
      <c r="A52" s="324" t="s">
        <v>50</v>
      </c>
      <c r="B52" s="325"/>
      <c r="C52" s="202">
        <v>350</v>
      </c>
      <c r="D52" s="203">
        <f>D11*$B$8</f>
        <v>700</v>
      </c>
      <c r="E52" s="206">
        <f t="shared" si="11"/>
        <v>245000</v>
      </c>
      <c r="F52" s="206">
        <f t="shared" si="12"/>
        <v>258474.99999999997</v>
      </c>
      <c r="G52" s="205" t="s">
        <v>111</v>
      </c>
      <c r="H52" s="14"/>
      <c r="I52" s="14"/>
      <c r="J52" s="14"/>
      <c r="K52" s="14"/>
      <c r="L52" s="14"/>
      <c r="M52" s="14"/>
      <c r="N52" s="14"/>
      <c r="O52" s="14"/>
      <c r="P52" s="14"/>
      <c r="Q52" s="14"/>
      <c r="R52" s="14"/>
      <c r="S52" s="14"/>
      <c r="T52" s="14"/>
      <c r="U52" s="14"/>
      <c r="V52" s="14"/>
      <c r="W52" s="14"/>
      <c r="X52" s="14"/>
      <c r="Y52" s="14"/>
      <c r="Z52" s="14"/>
    </row>
    <row r="53" spans="1:26" ht="14.25" customHeight="1">
      <c r="A53" s="324" t="s">
        <v>112</v>
      </c>
      <c r="B53" s="325"/>
      <c r="C53" s="202">
        <v>275</v>
      </c>
      <c r="D53" s="203">
        <f>SUM(D12:D14)*B8</f>
        <v>700</v>
      </c>
      <c r="E53" s="204">
        <f t="shared" si="11"/>
        <v>192500</v>
      </c>
      <c r="F53" s="204">
        <f>IF(SUM($D$12:$D$14)=0,0,E53*(1.055*SUM($D$12:$D$13)+1.2*$D$14)/SUM($D$12:$D$14))</f>
        <v>203087.5</v>
      </c>
      <c r="G53" s="205" t="str">
        <f>"TVA moyenne de "&amp;IF(E53=0,0,ROUND((F53/E53-1)*100,2))&amp;" % (prorata SDP)"</f>
        <v>TVA moyenne de 5,5 % (prorata SDP)</v>
      </c>
      <c r="H53" s="103"/>
      <c r="I53" s="103"/>
      <c r="J53" s="103"/>
      <c r="K53" s="103"/>
      <c r="L53" s="103"/>
      <c r="M53" s="103"/>
      <c r="N53" s="103"/>
      <c r="O53" s="103"/>
      <c r="P53" s="103"/>
      <c r="Q53" s="103"/>
      <c r="R53" s="103"/>
      <c r="S53" s="103"/>
      <c r="T53" s="103"/>
      <c r="U53" s="103"/>
      <c r="V53" s="103"/>
      <c r="W53" s="103"/>
      <c r="X53" s="103"/>
      <c r="Y53" s="103"/>
      <c r="Z53" s="103"/>
    </row>
    <row r="54" spans="1:26" ht="14.25" customHeight="1">
      <c r="A54" s="324" t="s">
        <v>8</v>
      </c>
      <c r="B54" s="325"/>
      <c r="C54" s="202">
        <f>E19</f>
        <v>650</v>
      </c>
      <c r="D54" s="203">
        <f>(E15+F15)*$B$8</f>
        <v>3150</v>
      </c>
      <c r="E54" s="206">
        <f t="shared" si="11"/>
        <v>2047500</v>
      </c>
      <c r="F54" s="206">
        <f>E54*1.2</f>
        <v>2457000</v>
      </c>
      <c r="G54" s="205" t="s">
        <v>113</v>
      </c>
      <c r="H54" s="14"/>
      <c r="I54" s="14"/>
      <c r="J54" s="14"/>
      <c r="K54" s="14"/>
      <c r="L54" s="14"/>
      <c r="M54" s="14"/>
      <c r="N54" s="14"/>
      <c r="O54" s="14"/>
      <c r="P54" s="14"/>
      <c r="Q54" s="14"/>
      <c r="R54" s="14"/>
      <c r="S54" s="14"/>
      <c r="T54" s="14"/>
      <c r="U54" s="14"/>
      <c r="V54" s="14"/>
      <c r="W54" s="14"/>
      <c r="X54" s="14"/>
      <c r="Y54" s="14"/>
      <c r="Z54" s="14"/>
    </row>
    <row r="55" spans="1:26" ht="14.25" customHeight="1">
      <c r="A55" s="326" t="s">
        <v>15</v>
      </c>
      <c r="B55" s="327"/>
      <c r="C55" s="207">
        <v>1600</v>
      </c>
      <c r="D55" s="208">
        <f>D60</f>
        <v>0</v>
      </c>
      <c r="E55" s="209">
        <f t="shared" si="11"/>
        <v>0</v>
      </c>
      <c r="F55" s="210">
        <f>IF($C$15=0,E55*(1.2*($E$21+$F$21)+1.055*$B$21)/($B$21+$E$21+$F$21),E55*(1.2*($E$21+$F$21+$C$21*$D$14/$C$15)+1.055*($B$21+$C$21*SUM($D$11:$D$13)/$C$15))/($B$21+$C$21+$E$21+$F$21))</f>
        <v>0</v>
      </c>
      <c r="G55" s="211" t="str">
        <f>"TVA moyenne de "&amp;IF(E55=0,"",ROUND((F55/E55-1)*100,2))&amp;" % (prorata nb places)"</f>
        <v>TVA moyenne de  % (prorata nb places)</v>
      </c>
      <c r="H55" s="103"/>
      <c r="I55" s="103"/>
      <c r="J55" s="103"/>
      <c r="K55" s="103"/>
      <c r="L55" s="103"/>
      <c r="M55" s="103"/>
      <c r="N55" s="103"/>
      <c r="O55" s="103"/>
      <c r="P55" s="103"/>
      <c r="Q55" s="103"/>
      <c r="R55" s="103"/>
      <c r="S55" s="103"/>
      <c r="T55" s="103"/>
      <c r="U55" s="103"/>
      <c r="V55" s="103"/>
      <c r="W55" s="103"/>
      <c r="X55" s="103"/>
      <c r="Y55" s="103"/>
      <c r="Z55" s="103"/>
    </row>
    <row r="56" spans="1:26" ht="14.25" customHeight="1">
      <c r="A56" s="328" t="s">
        <v>114</v>
      </c>
      <c r="B56" s="329"/>
      <c r="C56" s="137"/>
      <c r="D56" s="104">
        <f>SUM(B21:E21)-D60</f>
        <v>64</v>
      </c>
      <c r="E56" s="105">
        <f t="shared" si="11"/>
        <v>0</v>
      </c>
      <c r="F56" s="105">
        <f>E56*1.2</f>
        <v>0</v>
      </c>
      <c r="G56" s="7"/>
    </row>
    <row r="57" spans="1:26" ht="14.25" customHeight="1">
      <c r="A57" s="96" t="s">
        <v>115</v>
      </c>
      <c r="B57" s="96"/>
      <c r="C57" s="127"/>
      <c r="D57" s="127"/>
      <c r="E57" s="97">
        <f t="shared" ref="E57:F57" si="13">E59+E60+E58</f>
        <v>0</v>
      </c>
      <c r="F57" s="97">
        <f t="shared" si="13"/>
        <v>0</v>
      </c>
      <c r="G57" s="128">
        <f>F57/$F$77</f>
        <v>0</v>
      </c>
      <c r="H57" s="1"/>
      <c r="I57" s="1"/>
      <c r="J57" s="1"/>
      <c r="K57" s="1"/>
      <c r="L57" s="1"/>
      <c r="M57" s="1"/>
      <c r="N57" s="1"/>
      <c r="O57" s="1"/>
      <c r="P57" s="1"/>
      <c r="Q57" s="1"/>
      <c r="R57" s="1"/>
      <c r="S57" s="1"/>
      <c r="T57" s="1"/>
      <c r="U57" s="1"/>
      <c r="V57" s="1"/>
      <c r="W57" s="1"/>
      <c r="X57" s="1"/>
      <c r="Y57" s="1"/>
      <c r="Z57" s="1"/>
    </row>
    <row r="58" spans="1:26" ht="14.25" customHeight="1">
      <c r="A58" s="330" t="s">
        <v>116</v>
      </c>
      <c r="B58" s="330"/>
      <c r="C58" s="138">
        <v>0</v>
      </c>
      <c r="D58" s="108">
        <f>SUM(B17:E17)</f>
        <v>6300</v>
      </c>
      <c r="E58" s="109">
        <f>D58*C58</f>
        <v>0</v>
      </c>
      <c r="F58" s="109">
        <f t="shared" ref="F58:F60" si="14">IF($C$15=0,E58*(1.2*($E$16+$F$16)+1.055*$B$16)/$B$8,E58*(1.2*($E$16+$F$16+$C$16*$D$14/$C$15)+1.055*($B$16+$C$16*SUM($D$11:$D$13)/$C$15))/$B$8)</f>
        <v>0</v>
      </c>
      <c r="G58" s="244" t="str">
        <f>"TVA moyenne de "&amp;IF(E58=0,"",ROUND((F58/E58-1)*100,2))&amp;" % (prorata SDP)"</f>
        <v>TVA moyenne de  % (prorata SDP)</v>
      </c>
      <c r="H58" s="107"/>
      <c r="I58" s="107"/>
      <c r="J58" s="107"/>
      <c r="K58" s="107"/>
      <c r="L58" s="107"/>
      <c r="M58" s="107"/>
      <c r="N58" s="107"/>
      <c r="O58" s="107"/>
      <c r="P58" s="107"/>
      <c r="Q58" s="107"/>
      <c r="R58" s="107"/>
      <c r="S58" s="107"/>
      <c r="T58" s="107"/>
      <c r="U58" s="107"/>
      <c r="V58" s="107"/>
      <c r="W58" s="107"/>
      <c r="X58" s="107"/>
      <c r="Y58" s="107"/>
      <c r="Z58" s="107"/>
    </row>
    <row r="59" spans="1:26" ht="14.25" customHeight="1">
      <c r="A59" s="308" t="s">
        <v>117</v>
      </c>
      <c r="B59" s="309"/>
      <c r="C59" s="214">
        <v>0</v>
      </c>
      <c r="D59" s="215">
        <f>SUM(B17:E17)</f>
        <v>6300</v>
      </c>
      <c r="E59" s="216">
        <f>C59*D59</f>
        <v>0</v>
      </c>
      <c r="F59" s="216">
        <f t="shared" si="14"/>
        <v>0</v>
      </c>
      <c r="G59" s="223" t="str">
        <f>"TVA moyenne de "&amp;IF(E59=0,"",ROUND(100*(F59/E59-1),2))&amp;"% (prorata SdP)"</f>
        <v>TVA moyenne de % (prorata SdP)</v>
      </c>
    </row>
    <row r="60" spans="1:26" ht="14.25" customHeight="1">
      <c r="A60" s="330" t="s">
        <v>118</v>
      </c>
      <c r="B60" s="348"/>
      <c r="C60" s="212">
        <v>0</v>
      </c>
      <c r="D60" s="213">
        <v>0</v>
      </c>
      <c r="E60" s="109">
        <f>C60*D60</f>
        <v>0</v>
      </c>
      <c r="F60" s="110">
        <f t="shared" si="14"/>
        <v>0</v>
      </c>
      <c r="G60" s="245" t="str">
        <f>"TVA moyenne de "&amp;IF(E60=0,"",ROUND((F60/E60-1)*100,2))&amp;" % (prorata nb places)"</f>
        <v>TVA moyenne de  % (prorata nb places)</v>
      </c>
    </row>
    <row r="61" spans="1:26" ht="14.25" customHeight="1">
      <c r="A61" s="96" t="s">
        <v>119</v>
      </c>
      <c r="B61" s="96"/>
      <c r="C61" s="127"/>
      <c r="D61" s="106"/>
      <c r="E61" s="97">
        <f t="shared" ref="E61:F61" si="15">SUM(E62:E66)</f>
        <v>0</v>
      </c>
      <c r="F61" s="97">
        <f t="shared" si="15"/>
        <v>0</v>
      </c>
      <c r="G61" s="128">
        <f>F61/$F$77</f>
        <v>0</v>
      </c>
      <c r="H61" s="1"/>
      <c r="I61" s="1"/>
      <c r="J61" s="1"/>
      <c r="K61" s="1"/>
      <c r="L61" s="1"/>
      <c r="M61" s="1"/>
      <c r="N61" s="1"/>
      <c r="O61" s="1"/>
      <c r="P61" s="1"/>
      <c r="Q61" s="1"/>
      <c r="R61" s="1"/>
      <c r="S61" s="1"/>
      <c r="T61" s="1"/>
      <c r="U61" s="1"/>
      <c r="V61" s="1"/>
      <c r="W61" s="1"/>
      <c r="X61" s="1"/>
      <c r="Y61" s="1"/>
      <c r="Z61" s="1"/>
    </row>
    <row r="62" spans="1:26" ht="14.25" customHeight="1">
      <c r="A62" s="349" t="s">
        <v>120</v>
      </c>
      <c r="B62" s="350"/>
      <c r="C62" s="217">
        <v>0</v>
      </c>
      <c r="D62" s="218" t="s">
        <v>121</v>
      </c>
      <c r="E62" s="219">
        <f>C62*$E$77</f>
        <v>0</v>
      </c>
      <c r="F62" s="219">
        <f t="shared" ref="F62:F66" si="16">IF($C$15=0,E62*(1.2*($E$16+$F$16)+1.055*$B$16)/$B$8,E62*(1.2*($E$16+$F$16+$C$16*$D$14/$C$15)+1.055*($B$16+$C$16*SUM($D$11:$D$13)/$C$15))/$B$8)</f>
        <v>0</v>
      </c>
      <c r="G62" s="220" t="str">
        <f>"TVA moyenne de "&amp;IF(E62=0,"",ROUND(100*(F62/E62-1),2))&amp;"% (prorata SdP)"</f>
        <v>TVA moyenne de % (prorata SdP)</v>
      </c>
      <c r="H62" s="102"/>
      <c r="I62" s="102"/>
      <c r="J62" s="102"/>
      <c r="K62" s="102"/>
      <c r="L62" s="102"/>
      <c r="M62" s="102"/>
      <c r="N62" s="102"/>
      <c r="O62" s="102"/>
      <c r="P62" s="102"/>
      <c r="Q62" s="102"/>
      <c r="R62" s="102"/>
      <c r="S62" s="102"/>
      <c r="T62" s="102"/>
      <c r="U62" s="102"/>
      <c r="V62" s="102"/>
      <c r="W62" s="102"/>
      <c r="X62" s="102"/>
      <c r="Y62" s="102"/>
      <c r="Z62" s="102"/>
    </row>
    <row r="63" spans="1:26" ht="14.25" customHeight="1">
      <c r="A63" s="308" t="s">
        <v>122</v>
      </c>
      <c r="B63" s="309"/>
      <c r="C63" s="221">
        <v>0</v>
      </c>
      <c r="D63" s="222" t="s">
        <v>121</v>
      </c>
      <c r="E63" s="216">
        <f>C63*$E$77</f>
        <v>0</v>
      </c>
      <c r="F63" s="216">
        <f t="shared" si="16"/>
        <v>0</v>
      </c>
      <c r="G63" s="220" t="str">
        <f t="shared" ref="G63:G66" si="17">"TVA moyenne de "&amp;IF(E63=0,"",ROUND(100*(F63/E63-1),2))&amp;"% (prorata SdP)"</f>
        <v>TVA moyenne de % (prorata SdP)</v>
      </c>
      <c r="H63" s="102"/>
      <c r="I63" s="102"/>
      <c r="J63" s="102"/>
      <c r="K63" s="102"/>
      <c r="L63" s="102"/>
      <c r="M63" s="102"/>
      <c r="N63" s="102"/>
      <c r="O63" s="102"/>
      <c r="P63" s="102"/>
      <c r="Q63" s="102"/>
      <c r="R63" s="102"/>
      <c r="S63" s="102"/>
      <c r="T63" s="102"/>
      <c r="U63" s="102"/>
      <c r="V63" s="102"/>
      <c r="W63" s="102"/>
      <c r="X63" s="102"/>
      <c r="Y63" s="102"/>
      <c r="Z63" s="102"/>
    </row>
    <row r="64" spans="1:26" ht="14.25" customHeight="1">
      <c r="A64" s="308" t="s">
        <v>123</v>
      </c>
      <c r="B64" s="309"/>
      <c r="C64" s="221">
        <v>0</v>
      </c>
      <c r="D64" s="222" t="s">
        <v>121</v>
      </c>
      <c r="E64" s="216">
        <f>C64*$E$77</f>
        <v>0</v>
      </c>
      <c r="F64" s="216">
        <f t="shared" si="16"/>
        <v>0</v>
      </c>
      <c r="G64" s="220" t="str">
        <f t="shared" si="17"/>
        <v>TVA moyenne de % (prorata SdP)</v>
      </c>
      <c r="H64" s="102"/>
      <c r="I64" s="102"/>
      <c r="J64" s="102"/>
      <c r="K64" s="102"/>
      <c r="L64" s="102"/>
      <c r="M64" s="102"/>
      <c r="N64" s="102"/>
      <c r="O64" s="102"/>
      <c r="P64" s="102"/>
      <c r="Q64" s="102"/>
      <c r="R64" s="102"/>
      <c r="S64" s="102"/>
      <c r="T64" s="102"/>
      <c r="U64" s="102"/>
      <c r="V64" s="102"/>
      <c r="W64" s="102"/>
      <c r="X64" s="102"/>
      <c r="Y64" s="102"/>
      <c r="Z64" s="102"/>
    </row>
    <row r="65" spans="1:26" ht="14.25" customHeight="1">
      <c r="A65" s="308" t="s">
        <v>124</v>
      </c>
      <c r="B65" s="309"/>
      <c r="C65" s="221">
        <v>0</v>
      </c>
      <c r="D65" s="222" t="s">
        <v>121</v>
      </c>
      <c r="E65" s="216">
        <f>C65*$E$77</f>
        <v>0</v>
      </c>
      <c r="F65" s="216">
        <f t="shared" si="16"/>
        <v>0</v>
      </c>
      <c r="G65" s="220" t="str">
        <f t="shared" si="17"/>
        <v>TVA moyenne de % (prorata SdP)</v>
      </c>
      <c r="H65" s="102"/>
      <c r="I65" s="102"/>
      <c r="J65" s="102"/>
      <c r="K65" s="102"/>
      <c r="L65" s="102"/>
      <c r="M65" s="102"/>
      <c r="N65" s="102"/>
      <c r="O65" s="102"/>
      <c r="P65" s="102"/>
      <c r="Q65" s="102"/>
      <c r="R65" s="102"/>
      <c r="S65" s="102"/>
      <c r="T65" s="102"/>
      <c r="U65" s="102"/>
      <c r="V65" s="102"/>
      <c r="W65" s="102"/>
      <c r="X65" s="102"/>
      <c r="Y65" s="102"/>
      <c r="Z65" s="102"/>
    </row>
    <row r="66" spans="1:26" ht="14.25" customHeight="1">
      <c r="A66" s="310" t="s">
        <v>125</v>
      </c>
      <c r="B66" s="311"/>
      <c r="C66" s="139">
        <v>0</v>
      </c>
      <c r="D66" s="133" t="s">
        <v>121</v>
      </c>
      <c r="E66" s="110">
        <f>C66*$E$77</f>
        <v>0</v>
      </c>
      <c r="F66" s="110">
        <f t="shared" si="16"/>
        <v>0</v>
      </c>
      <c r="G66" s="111" t="str">
        <f t="shared" si="17"/>
        <v>TVA moyenne de % (prorata SdP)</v>
      </c>
      <c r="H66" s="102"/>
      <c r="I66" s="102"/>
      <c r="J66" s="102"/>
      <c r="K66" s="102"/>
      <c r="L66" s="102"/>
      <c r="M66" s="102"/>
      <c r="N66" s="102"/>
      <c r="O66" s="102"/>
      <c r="P66" s="102"/>
      <c r="Q66" s="102"/>
      <c r="R66" s="102"/>
      <c r="S66" s="102"/>
      <c r="T66" s="102"/>
      <c r="U66" s="102"/>
      <c r="V66" s="102"/>
      <c r="W66" s="102"/>
      <c r="X66" s="102"/>
      <c r="Y66" s="102"/>
      <c r="Z66" s="102"/>
    </row>
    <row r="67" spans="1:26" ht="14.25" customHeight="1">
      <c r="A67" s="112" t="s">
        <v>126</v>
      </c>
      <c r="B67" s="112"/>
      <c r="C67" s="129"/>
      <c r="D67" s="113"/>
      <c r="E67" s="114">
        <f t="shared" ref="E67:F67" si="18">SUM(E49,E57,E61)</f>
        <v>3097500</v>
      </c>
      <c r="F67" s="114">
        <f t="shared" si="18"/>
        <v>3564750</v>
      </c>
      <c r="G67" s="115"/>
      <c r="H67" s="9"/>
      <c r="I67" s="9"/>
      <c r="J67" s="9"/>
      <c r="K67" s="9"/>
      <c r="L67" s="9"/>
      <c r="M67" s="9"/>
      <c r="N67" s="9"/>
      <c r="O67" s="9"/>
      <c r="P67" s="9"/>
      <c r="Q67" s="9"/>
      <c r="R67" s="9"/>
      <c r="S67" s="9"/>
      <c r="T67" s="9"/>
      <c r="U67" s="9"/>
      <c r="V67" s="9"/>
      <c r="W67" s="9"/>
      <c r="X67" s="9"/>
      <c r="Y67" s="9"/>
      <c r="Z67" s="9"/>
    </row>
    <row r="68" spans="1:26" ht="14.25" customHeight="1">
      <c r="A68" s="96" t="s">
        <v>127</v>
      </c>
      <c r="B68" s="96"/>
      <c r="C68" s="130"/>
      <c r="D68" s="96"/>
      <c r="E68" s="97">
        <f t="shared" ref="E68:F68" si="19">SUM(E69:E76)</f>
        <v>20086107.5</v>
      </c>
      <c r="F68" s="97">
        <f t="shared" si="19"/>
        <v>22744364.350000001</v>
      </c>
      <c r="G68" s="98"/>
      <c r="H68" s="1"/>
      <c r="I68" s="1"/>
      <c r="J68" s="1"/>
      <c r="K68" s="1"/>
      <c r="L68" s="1"/>
      <c r="M68" s="1"/>
      <c r="N68" s="1"/>
      <c r="O68" s="1"/>
      <c r="P68" s="1"/>
      <c r="Q68" s="1"/>
      <c r="R68" s="1"/>
      <c r="S68" s="1"/>
      <c r="T68" s="1"/>
      <c r="U68" s="1"/>
      <c r="V68" s="1"/>
      <c r="W68" s="1"/>
      <c r="X68" s="1"/>
      <c r="Y68" s="1"/>
      <c r="Z68" s="1"/>
    </row>
    <row r="69" spans="1:26" ht="14.25" customHeight="1">
      <c r="A69" s="312" t="s">
        <v>128</v>
      </c>
      <c r="B69" s="312"/>
      <c r="C69" s="131">
        <f>E22</f>
        <v>4535</v>
      </c>
      <c r="D69" s="116">
        <f>E17</f>
        <v>2835</v>
      </c>
      <c r="E69" s="100">
        <f t="shared" ref="E69:E70" si="20">F69/1.2</f>
        <v>10713937.5</v>
      </c>
      <c r="F69" s="100">
        <f>C69*D69</f>
        <v>12856725</v>
      </c>
      <c r="G69" s="117" t="s">
        <v>113</v>
      </c>
    </row>
    <row r="70" spans="1:26" ht="14.25" customHeight="1">
      <c r="A70" s="355" t="s">
        <v>129</v>
      </c>
      <c r="B70" s="356"/>
      <c r="C70" s="224">
        <f>F22</f>
        <v>0</v>
      </c>
      <c r="D70" s="225">
        <f>F17</f>
        <v>0</v>
      </c>
      <c r="E70" s="226">
        <f t="shared" si="20"/>
        <v>0</v>
      </c>
      <c r="F70" s="226">
        <f>C70*D70</f>
        <v>0</v>
      </c>
      <c r="G70" s="227" t="s">
        <v>113</v>
      </c>
    </row>
    <row r="71" spans="1:26" ht="14.25" customHeight="1">
      <c r="A71" s="353" t="s">
        <v>130</v>
      </c>
      <c r="B71" s="354"/>
      <c r="C71" s="228">
        <f>3338*0.8</f>
        <v>2670.4</v>
      </c>
      <c r="D71" s="229">
        <f>IF($C$15=0,0,C18*$D$11/$C$15)</f>
        <v>675</v>
      </c>
      <c r="E71" s="230">
        <f>C71*D71</f>
        <v>1802520</v>
      </c>
      <c r="F71" s="230">
        <f>1.055*E71</f>
        <v>1901658.5999999999</v>
      </c>
      <c r="G71" s="231" t="s">
        <v>111</v>
      </c>
    </row>
    <row r="72" spans="1:26" ht="14.25" customHeight="1">
      <c r="A72" s="355" t="s">
        <v>131</v>
      </c>
      <c r="B72" s="356"/>
      <c r="C72" s="232">
        <f>C52</f>
        <v>350</v>
      </c>
      <c r="D72" s="225">
        <f>IF($C$15=0,0,C16*$D$11/$C$15)</f>
        <v>700</v>
      </c>
      <c r="E72" s="226">
        <f>C72*D72</f>
        <v>245000</v>
      </c>
      <c r="F72" s="226">
        <f>E72*1.055</f>
        <v>258474.99999999997</v>
      </c>
      <c r="G72" s="233" t="s">
        <v>111</v>
      </c>
    </row>
    <row r="73" spans="1:26" ht="14.25" customHeight="1">
      <c r="A73" s="351" t="s">
        <v>132</v>
      </c>
      <c r="B73" s="352"/>
      <c r="C73" s="234">
        <v>3338</v>
      </c>
      <c r="D73" s="235">
        <f>IF($C$15=0,0,C18*SUM($D$12:$D$13)/$C$15)</f>
        <v>675</v>
      </c>
      <c r="E73" s="236">
        <f>C73*D73</f>
        <v>2253150</v>
      </c>
      <c r="F73" s="236">
        <f>1.055*E73</f>
        <v>2377073.25</v>
      </c>
      <c r="G73" s="237" t="s">
        <v>111</v>
      </c>
    </row>
    <row r="74" spans="1:26" ht="14.25" customHeight="1">
      <c r="A74" s="351" t="s">
        <v>133</v>
      </c>
      <c r="B74" s="352"/>
      <c r="C74" s="238">
        <v>3000</v>
      </c>
      <c r="D74" s="235">
        <f>IF($C$15=0,0,C17*$D$14/$C$15+4.5*ROUND($C$20*$D$14/$C$15,0))</f>
        <v>0</v>
      </c>
      <c r="E74" s="236">
        <f>F74/1.2</f>
        <v>0</v>
      </c>
      <c r="F74" s="236">
        <f>D74*C74</f>
        <v>0</v>
      </c>
      <c r="G74" s="237" t="s">
        <v>113</v>
      </c>
    </row>
    <row r="75" spans="1:26" ht="14.25" customHeight="1">
      <c r="A75" s="351" t="s">
        <v>134</v>
      </c>
      <c r="B75" s="352"/>
      <c r="C75" s="239">
        <f>B22</f>
        <v>2300</v>
      </c>
      <c r="D75" s="235">
        <f>+B17</f>
        <v>2205</v>
      </c>
      <c r="E75" s="236">
        <f>C75*D75</f>
        <v>5071500</v>
      </c>
      <c r="F75" s="236">
        <f>1.055*E75</f>
        <v>5350432.5</v>
      </c>
      <c r="G75" s="240" t="s">
        <v>111</v>
      </c>
    </row>
    <row r="76" spans="1:26" ht="14.25" customHeight="1">
      <c r="A76" s="353" t="s">
        <v>135</v>
      </c>
      <c r="B76" s="354"/>
      <c r="C76" s="241">
        <v>0</v>
      </c>
      <c r="D76" s="242">
        <f>SUM(B21:E21)</f>
        <v>64</v>
      </c>
      <c r="E76" s="243">
        <f>IF($C$15=0,F76/((1.2*($E$21+$F$21)+1.055*$B$21)/($B$21+$E$21+$F$21)),F76/((1.2*($C$21*$D$14/$C$15+$E$21+$F$21)+1.055*($B$21+$C$21*SUM($D$11:$D$13)/$C$15))/($B$21+$C$21+$E$21+$F$21)))</f>
        <v>0</v>
      </c>
      <c r="F76" s="230">
        <f>C76*SUM(B21:F21)</f>
        <v>0</v>
      </c>
      <c r="G76" s="246" t="str">
        <f>"TVA moyenne de "&amp;IF(E76=0,"",ROUND(100*(F76/E76-1),2))&amp;"% (prorata nb places)"</f>
        <v>TVA moyenne de % (prorata nb places)</v>
      </c>
    </row>
    <row r="77" spans="1:26" ht="14.25" customHeight="1">
      <c r="A77" s="112" t="s">
        <v>136</v>
      </c>
      <c r="B77" s="112"/>
      <c r="C77" s="132"/>
      <c r="D77" s="112"/>
      <c r="E77" s="114">
        <f t="shared" ref="E77:F77" si="21">E68</f>
        <v>20086107.5</v>
      </c>
      <c r="F77" s="114">
        <f t="shared" si="21"/>
        <v>22744364.350000001</v>
      </c>
      <c r="G77" s="115"/>
      <c r="H77" s="9"/>
      <c r="I77" s="9"/>
      <c r="J77" s="9"/>
      <c r="K77" s="9"/>
      <c r="L77" s="9"/>
      <c r="M77" s="9"/>
      <c r="N77" s="9"/>
      <c r="O77" s="9"/>
      <c r="P77" s="9"/>
      <c r="Q77" s="9"/>
      <c r="R77" s="9"/>
      <c r="S77" s="9"/>
      <c r="T77" s="9"/>
      <c r="U77" s="9"/>
      <c r="V77" s="9"/>
      <c r="W77" s="9"/>
      <c r="X77" s="9"/>
      <c r="Y77" s="9"/>
      <c r="Z77" s="9"/>
    </row>
    <row r="78" spans="1:26" ht="14.25" customHeight="1">
      <c r="A78" s="118" t="s">
        <v>137</v>
      </c>
      <c r="B78" s="118"/>
      <c r="C78" s="119">
        <f>(F77-F67)/F77</f>
        <v>0.84326886673357393</v>
      </c>
      <c r="D78" s="120"/>
      <c r="E78" s="120"/>
      <c r="F78" s="121">
        <f>F77-F67</f>
        <v>19179614.350000001</v>
      </c>
      <c r="G78" s="122"/>
    </row>
    <row r="79" spans="1:26" ht="14.25" customHeight="1">
      <c r="A79" s="5"/>
      <c r="B79" s="5"/>
      <c r="C79" s="5"/>
      <c r="D79" s="5"/>
      <c r="E79" s="5"/>
      <c r="F79" s="5"/>
      <c r="G79" s="5"/>
    </row>
    <row r="80" spans="1:26" ht="21">
      <c r="A80" s="343" t="s">
        <v>138</v>
      </c>
      <c r="B80" s="343"/>
      <c r="C80" s="343"/>
      <c r="D80" s="343"/>
      <c r="E80" s="343"/>
      <c r="F80" s="343"/>
      <c r="G80" s="343"/>
      <c r="H80" s="152"/>
      <c r="I80" s="152"/>
      <c r="J80" s="152"/>
      <c r="K80" s="152"/>
      <c r="L80" s="152"/>
      <c r="M80" s="152"/>
      <c r="N80" s="152"/>
      <c r="O80" s="152"/>
      <c r="P80" s="152"/>
      <c r="Q80" s="152"/>
      <c r="R80" s="152"/>
      <c r="S80" s="152"/>
      <c r="T80" s="152"/>
      <c r="U80" s="152"/>
      <c r="V80" s="152"/>
      <c r="W80" s="152"/>
      <c r="X80" s="152"/>
      <c r="Y80" s="152"/>
      <c r="Z80" s="152"/>
    </row>
    <row r="81" spans="1:26" ht="44.25" customHeight="1">
      <c r="A81" s="319" t="s">
        <v>139</v>
      </c>
      <c r="B81" s="320"/>
      <c r="C81" s="340"/>
      <c r="D81" s="341"/>
      <c r="E81" s="341"/>
      <c r="F81" s="341"/>
      <c r="G81" s="342"/>
      <c r="H81" s="54"/>
      <c r="I81" s="54"/>
      <c r="J81" s="54"/>
      <c r="K81" s="54"/>
      <c r="L81" s="54"/>
      <c r="M81" s="54"/>
      <c r="N81" s="54"/>
      <c r="O81" s="54"/>
      <c r="P81" s="54"/>
      <c r="Q81" s="54"/>
      <c r="R81" s="54"/>
      <c r="S81" s="54"/>
      <c r="T81" s="54"/>
      <c r="U81" s="54"/>
      <c r="V81" s="54"/>
      <c r="W81" s="54"/>
      <c r="X81" s="54"/>
      <c r="Y81" s="54"/>
      <c r="Z81" s="54"/>
    </row>
    <row r="82" spans="1:26" ht="44.25" customHeight="1">
      <c r="A82" s="321" t="s">
        <v>140</v>
      </c>
      <c r="B82" s="314"/>
      <c r="C82" s="331"/>
      <c r="D82" s="332"/>
      <c r="E82" s="332"/>
      <c r="F82" s="332"/>
      <c r="G82" s="333"/>
      <c r="H82" s="54"/>
      <c r="I82" s="54"/>
      <c r="J82" s="54"/>
      <c r="K82" s="54"/>
      <c r="L82" s="54"/>
      <c r="M82" s="54"/>
      <c r="N82" s="54"/>
      <c r="O82" s="54"/>
      <c r="P82" s="54"/>
      <c r="Q82" s="54"/>
      <c r="R82" s="54"/>
      <c r="S82" s="54"/>
      <c r="T82" s="54"/>
      <c r="U82" s="54"/>
      <c r="V82" s="54"/>
      <c r="W82" s="54"/>
      <c r="X82" s="54"/>
      <c r="Y82" s="54"/>
      <c r="Z82" s="54"/>
    </row>
    <row r="83" spans="1:26" ht="44.25" customHeight="1">
      <c r="A83" s="405" t="s">
        <v>148</v>
      </c>
      <c r="B83" s="406"/>
      <c r="C83" s="331"/>
      <c r="D83" s="332"/>
      <c r="E83" s="332"/>
      <c r="F83" s="332"/>
      <c r="G83" s="333"/>
      <c r="H83" s="54"/>
      <c r="I83" s="54"/>
      <c r="J83" s="54"/>
      <c r="K83" s="54"/>
      <c r="L83" s="54"/>
      <c r="M83" s="54"/>
      <c r="N83" s="54"/>
      <c r="O83" s="54"/>
      <c r="P83" s="54"/>
      <c r="Q83" s="54"/>
      <c r="R83" s="54"/>
      <c r="S83" s="54"/>
      <c r="T83" s="54"/>
      <c r="U83" s="54"/>
      <c r="V83" s="54"/>
      <c r="W83" s="54"/>
      <c r="X83" s="54"/>
      <c r="Y83" s="54"/>
      <c r="Z83" s="54"/>
    </row>
    <row r="84" spans="1:26" ht="44.25" customHeight="1">
      <c r="A84" s="323" t="s">
        <v>141</v>
      </c>
      <c r="B84" s="323"/>
      <c r="C84" s="331"/>
      <c r="D84" s="332"/>
      <c r="E84" s="332"/>
      <c r="F84" s="332"/>
      <c r="G84" s="333"/>
      <c r="H84" s="54"/>
      <c r="I84" s="54"/>
      <c r="J84" s="54"/>
      <c r="K84" s="54"/>
      <c r="L84" s="54"/>
      <c r="M84" s="54"/>
      <c r="N84" s="54"/>
      <c r="O84" s="54"/>
      <c r="P84" s="54"/>
      <c r="Q84" s="54"/>
      <c r="R84" s="54"/>
      <c r="S84" s="54"/>
      <c r="T84" s="54"/>
      <c r="U84" s="54"/>
      <c r="V84" s="54"/>
      <c r="W84" s="54"/>
      <c r="X84" s="54"/>
      <c r="Y84" s="54"/>
      <c r="Z84" s="54"/>
    </row>
    <row r="85" spans="1:26" ht="48" customHeight="1">
      <c r="A85" s="404" t="s">
        <v>142</v>
      </c>
      <c r="B85" s="314"/>
      <c r="C85" s="331"/>
      <c r="D85" s="332"/>
      <c r="E85" s="332"/>
      <c r="F85" s="332"/>
      <c r="G85" s="333"/>
      <c r="H85" s="54"/>
      <c r="I85" s="54"/>
      <c r="J85" s="54"/>
      <c r="K85" s="54"/>
      <c r="L85" s="54"/>
      <c r="M85" s="54"/>
      <c r="N85" s="54"/>
      <c r="O85" s="54"/>
      <c r="P85" s="54"/>
      <c r="Q85" s="54"/>
      <c r="R85" s="54"/>
      <c r="S85" s="54"/>
      <c r="T85" s="54"/>
      <c r="U85" s="54"/>
      <c r="V85" s="54"/>
      <c r="W85" s="54"/>
      <c r="X85" s="54"/>
      <c r="Y85" s="54"/>
      <c r="Z85" s="54"/>
    </row>
    <row r="86" spans="1:26" ht="75.75" customHeight="1">
      <c r="A86" s="313" t="s">
        <v>143</v>
      </c>
      <c r="B86" s="314"/>
      <c r="C86" s="331"/>
      <c r="D86" s="332"/>
      <c r="E86" s="332"/>
      <c r="F86" s="332"/>
      <c r="G86" s="333"/>
      <c r="H86" s="54"/>
      <c r="I86" s="54"/>
      <c r="J86" s="54"/>
      <c r="K86" s="54"/>
      <c r="L86" s="54"/>
      <c r="M86" s="54"/>
      <c r="N86" s="54"/>
      <c r="O86" s="54"/>
      <c r="P86" s="54"/>
      <c r="Q86" s="54"/>
      <c r="R86" s="54"/>
      <c r="S86" s="54"/>
      <c r="T86" s="54"/>
      <c r="U86" s="54"/>
      <c r="V86" s="54"/>
      <c r="W86" s="54"/>
      <c r="X86" s="54"/>
      <c r="Y86" s="54"/>
      <c r="Z86" s="54"/>
    </row>
    <row r="87" spans="1:26" ht="48.75" customHeight="1">
      <c r="A87" s="313" t="s">
        <v>144</v>
      </c>
      <c r="B87" s="314"/>
      <c r="C87" s="331"/>
      <c r="D87" s="332"/>
      <c r="E87" s="332"/>
      <c r="F87" s="332"/>
      <c r="G87" s="333"/>
      <c r="H87" s="54"/>
      <c r="I87" s="54"/>
      <c r="J87" s="54"/>
      <c r="K87" s="54"/>
      <c r="L87" s="54"/>
      <c r="M87" s="54"/>
      <c r="N87" s="54"/>
      <c r="O87" s="54"/>
      <c r="P87" s="54"/>
      <c r="Q87" s="54"/>
      <c r="R87" s="54"/>
      <c r="S87" s="54"/>
      <c r="T87" s="54"/>
      <c r="U87" s="54"/>
      <c r="V87" s="54"/>
      <c r="W87" s="54"/>
      <c r="X87" s="54"/>
      <c r="Y87" s="54"/>
      <c r="Z87" s="54"/>
    </row>
    <row r="88" spans="1:26" ht="44.25" customHeight="1">
      <c r="A88" s="313" t="s">
        <v>145</v>
      </c>
      <c r="B88" s="314"/>
      <c r="C88" s="331"/>
      <c r="D88" s="332"/>
      <c r="E88" s="332"/>
      <c r="F88" s="332"/>
      <c r="G88" s="333"/>
      <c r="H88" s="54"/>
      <c r="I88" s="54"/>
      <c r="J88" s="54"/>
      <c r="K88" s="54"/>
      <c r="L88" s="54"/>
      <c r="M88" s="54"/>
      <c r="N88" s="54"/>
      <c r="O88" s="54"/>
      <c r="P88" s="54"/>
      <c r="Q88" s="54"/>
      <c r="R88" s="54"/>
      <c r="S88" s="54"/>
      <c r="T88" s="54"/>
      <c r="U88" s="54"/>
      <c r="V88" s="54"/>
      <c r="W88" s="54"/>
      <c r="X88" s="54"/>
      <c r="Y88" s="54"/>
      <c r="Z88" s="54"/>
    </row>
    <row r="89" spans="1:26" ht="14.25" customHeight="1"/>
    <row r="90" spans="1:26" ht="14.25" customHeight="1"/>
    <row r="91" spans="1:26" ht="14.25" customHeight="1"/>
    <row r="92" spans="1:26" ht="14.25" customHeight="1"/>
    <row r="93" spans="1:26" ht="14.25" customHeight="1"/>
    <row r="94" spans="1:26" ht="14.25" customHeight="1"/>
    <row r="95" spans="1:26" ht="14.25" customHeight="1"/>
    <row r="96" spans="1:2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row r="1001" ht="14.25" customHeight="1"/>
    <row r="1002" ht="14.25" customHeight="1"/>
  </sheetData>
  <sheetProtection algorithmName="SHA-512" hashValue="FLGjkUXN1u8it9xXgr99rdyK8qcseF4A0JwVxSjnu+TZJSigkDpLIgBnZ/+2UIYZ16xmEQIMVIM5WrwSK5DLiA==" saltValue="NfP1s/10IYPZHHM9k0pVKg==" spinCount="100000" sheet="1" objects="1" scenarios="1"/>
  <mergeCells count="82">
    <mergeCell ref="A88:B88"/>
    <mergeCell ref="C88:G88"/>
    <mergeCell ref="A82:B82"/>
    <mergeCell ref="C82:G82"/>
    <mergeCell ref="A84:B84"/>
    <mergeCell ref="C84:G84"/>
    <mergeCell ref="A85:B85"/>
    <mergeCell ref="C85:G85"/>
    <mergeCell ref="A83:B83"/>
    <mergeCell ref="C83:G83"/>
    <mergeCell ref="A86:B86"/>
    <mergeCell ref="C86:G86"/>
    <mergeCell ref="A87:B87"/>
    <mergeCell ref="C87:G87"/>
    <mergeCell ref="A73:B73"/>
    <mergeCell ref="A74:B74"/>
    <mergeCell ref="A75:B75"/>
    <mergeCell ref="A76:B76"/>
    <mergeCell ref="A81:B81"/>
    <mergeCell ref="A80:G80"/>
    <mergeCell ref="C81:G81"/>
    <mergeCell ref="A72:B72"/>
    <mergeCell ref="A58:B58"/>
    <mergeCell ref="A59:B59"/>
    <mergeCell ref="A60:B60"/>
    <mergeCell ref="A62:B62"/>
    <mergeCell ref="A63:B63"/>
    <mergeCell ref="A64:B64"/>
    <mergeCell ref="A65:B65"/>
    <mergeCell ref="A66:B66"/>
    <mergeCell ref="A69:B69"/>
    <mergeCell ref="A70:B70"/>
    <mergeCell ref="A71:B71"/>
    <mergeCell ref="A56:B56"/>
    <mergeCell ref="A43:A44"/>
    <mergeCell ref="E43:G43"/>
    <mergeCell ref="E44:G44"/>
    <mergeCell ref="B45:G45"/>
    <mergeCell ref="A47:G47"/>
    <mergeCell ref="A50:B50"/>
    <mergeCell ref="A51:B51"/>
    <mergeCell ref="A52:B52"/>
    <mergeCell ref="A53:B53"/>
    <mergeCell ref="A54:B54"/>
    <mergeCell ref="A55:B55"/>
    <mergeCell ref="E36:G36"/>
    <mergeCell ref="A38:A39"/>
    <mergeCell ref="B38:B39"/>
    <mergeCell ref="E38:G38"/>
    <mergeCell ref="E39:G39"/>
    <mergeCell ref="A40:A42"/>
    <mergeCell ref="B40:B42"/>
    <mergeCell ref="E40:G40"/>
    <mergeCell ref="E41:G41"/>
    <mergeCell ref="E42:G42"/>
    <mergeCell ref="E35:G35"/>
    <mergeCell ref="C21:D21"/>
    <mergeCell ref="A22:A23"/>
    <mergeCell ref="C22:D23"/>
    <mergeCell ref="A25:G25"/>
    <mergeCell ref="E26:G26"/>
    <mergeCell ref="E27:G27"/>
    <mergeCell ref="E29:G29"/>
    <mergeCell ref="E30:G30"/>
    <mergeCell ref="E31:G31"/>
    <mergeCell ref="E32:G32"/>
    <mergeCell ref="E34:G34"/>
    <mergeCell ref="C20:D20"/>
    <mergeCell ref="C1:D1"/>
    <mergeCell ref="C2:D5"/>
    <mergeCell ref="E2:E5"/>
    <mergeCell ref="A7:G7"/>
    <mergeCell ref="B10:B14"/>
    <mergeCell ref="C10:D10"/>
    <mergeCell ref="E10:E14"/>
    <mergeCell ref="F10:F14"/>
    <mergeCell ref="G10:G14"/>
    <mergeCell ref="C15:D15"/>
    <mergeCell ref="C16:D16"/>
    <mergeCell ref="C17:D17"/>
    <mergeCell ref="C18:D18"/>
    <mergeCell ref="C19:D19"/>
  </mergeCells>
  <dataValidations count="5">
    <dataValidation type="list" allowBlank="1" showInputMessage="1" showErrorMessage="1" sqref="D27 D29:D32 D34:D36 D38:D44">
      <formula1>"OUI,NON"</formula1>
    </dataValidation>
    <dataValidation type="whole" operator="lessThanOrEqual" allowBlank="1" showDropDown="1" showInputMessage="1" showErrorMessage="1" error="doit être inférieur ou égal au total de places B21+C21+E21+F21" prompt="Renseigner le nombre de places réalisé sur l'opération s'il est fait le choix de ne pas les positionner exclusivement hors site (concession longue durée)" sqref="D60">
      <formula1>SUM(B21,C21,E21,F21)</formula1>
    </dataValidation>
    <dataValidation type="whole" operator="lessThanOrEqual" allowBlank="1" showInputMessage="1" showErrorMessage="1" error="23 800 € TTC max" prompt="23 800 € TTC max" sqref="C76">
      <formula1>23800</formula1>
    </dataValidation>
    <dataValidation type="list" allowBlank="1" showInputMessage="1" promptTitle="Choisir entre options tarifaires" prompt="   1. décaissement initial faible (18 300 € HT / pl) et frais de gestion annuels élevés_x000a_   2. décaissement initial élevé (21 650€ HT / pl) et frais de gestion annuels faibles" sqref="C56">
      <formula1>"18300,21650"</formula1>
    </dataValidation>
    <dataValidation type="list" allowBlank="1" showInputMessage="1" showErrorMessage="1" promptTitle="Choisir entre options" prompt="   - 2 250 € sans pk ou avec pk aérien_x000a_   - 2 300 € avec pk en ouvrage" sqref="B22">
      <formula1>"2250,2300"</formula1>
    </dataValidation>
  </dataValidations>
  <pageMargins left="0.23622047244094491" right="0.23622047244094491" top="0.74803149606299213" bottom="0.74803149606299213" header="0" footer="0"/>
  <pageSetup paperSize="8" scale="57" fitToHeight="0"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Z1002"/>
  <sheetViews>
    <sheetView zoomScale="80" zoomScaleNormal="80" workbookViewId="0">
      <pane ySplit="5" topLeftCell="A49" activePane="bottomLeft" state="frozenSplit"/>
      <selection activeCell="G1" sqref="G1"/>
      <selection pane="bottomLeft" activeCell="D58" sqref="D58"/>
    </sheetView>
  </sheetViews>
  <sheetFormatPr baseColWidth="10" defaultColWidth="14.44140625" defaultRowHeight="14.4"/>
  <cols>
    <col min="1" max="1" width="48.44140625" bestFit="1" customWidth="1"/>
    <col min="2" max="2" width="31.21875" bestFit="1" customWidth="1"/>
    <col min="3" max="3" width="40.21875" bestFit="1" customWidth="1"/>
    <col min="4" max="4" width="14.77734375" customWidth="1"/>
    <col min="5" max="6" width="31.21875" customWidth="1"/>
    <col min="7" max="7" width="53.5546875" customWidth="1"/>
    <col min="8" max="26" width="10.77734375" customWidth="1"/>
  </cols>
  <sheetData>
    <row r="1" spans="1:26" ht="86.25" customHeight="1" thickBot="1">
      <c r="A1" s="143" t="s">
        <v>149</v>
      </c>
      <c r="B1" s="11" t="s">
        <v>39</v>
      </c>
      <c r="C1" s="376" t="s">
        <v>40</v>
      </c>
      <c r="D1" s="377"/>
      <c r="E1" s="12">
        <f>E22*0.65+3338*75/70*1.055*0.35</f>
        <v>4268.3462499999996</v>
      </c>
      <c r="F1" s="13" t="s">
        <v>41</v>
      </c>
      <c r="G1" s="123"/>
      <c r="H1" s="14"/>
      <c r="I1" s="14"/>
    </row>
    <row r="2" spans="1:26" ht="14.25" customHeight="1" thickBot="1">
      <c r="A2" s="15" t="str">
        <f>B10</f>
        <v>Locatif social</v>
      </c>
      <c r="B2" s="16">
        <v>0.35</v>
      </c>
      <c r="C2" s="378" t="s">
        <v>42</v>
      </c>
      <c r="D2" s="379"/>
      <c r="E2" s="385">
        <f>(SUM(F69,F71,F73:F74)/(C17+E17))</f>
        <v>4036.7125314588061</v>
      </c>
      <c r="F2" s="17"/>
      <c r="G2" s="5"/>
      <c r="H2" s="14"/>
      <c r="I2" s="14"/>
    </row>
    <row r="3" spans="1:26" ht="14.25" customHeight="1" thickBot="1">
      <c r="A3" s="18" t="str">
        <f>C10</f>
        <v>Accession encadrée</v>
      </c>
      <c r="B3" s="19">
        <v>0.15</v>
      </c>
      <c r="C3" s="380"/>
      <c r="D3" s="379"/>
      <c r="E3" s="316"/>
      <c r="F3" s="5"/>
      <c r="G3" s="5"/>
      <c r="H3" s="14"/>
      <c r="I3" s="14"/>
    </row>
    <row r="4" spans="1:26" ht="14.25" customHeight="1" thickBot="1">
      <c r="A4" s="18" t="str">
        <f>E10</f>
        <v>Libre VAD</v>
      </c>
      <c r="B4" s="19">
        <v>0.2</v>
      </c>
      <c r="C4" s="380"/>
      <c r="D4" s="379"/>
      <c r="E4" s="316"/>
      <c r="F4" s="5"/>
      <c r="G4" s="5"/>
      <c r="H4" s="14"/>
      <c r="I4" s="14"/>
    </row>
    <row r="5" spans="1:26" ht="14.25" customHeight="1" thickBot="1">
      <c r="A5" s="18" t="str">
        <f>F10</f>
        <v>Vente en bloc (LLI et résidences gérées)</v>
      </c>
      <c r="B5" s="19">
        <v>0.3</v>
      </c>
      <c r="C5" s="381"/>
      <c r="D5" s="382"/>
      <c r="E5" s="386"/>
      <c r="F5" s="5"/>
      <c r="G5" s="5"/>
      <c r="H5" s="14"/>
      <c r="I5" s="14"/>
    </row>
    <row r="6" spans="1:26" ht="14.25" customHeight="1">
      <c r="A6" s="20"/>
      <c r="B6" s="20"/>
      <c r="C6" s="5"/>
      <c r="D6" s="5"/>
      <c r="E6" s="5"/>
      <c r="F6" s="5"/>
      <c r="G6" s="5"/>
      <c r="H6" s="14"/>
      <c r="I6" s="14"/>
    </row>
    <row r="7" spans="1:26" ht="21">
      <c r="A7" s="343" t="s">
        <v>43</v>
      </c>
      <c r="B7" s="343"/>
      <c r="C7" s="343"/>
      <c r="D7" s="343"/>
      <c r="E7" s="343"/>
      <c r="F7" s="343"/>
      <c r="G7" s="343"/>
      <c r="H7" s="152"/>
      <c r="I7" s="152"/>
      <c r="J7" s="152"/>
      <c r="K7" s="152"/>
      <c r="L7" s="152"/>
      <c r="M7" s="152"/>
      <c r="N7" s="152"/>
      <c r="O7" s="152"/>
      <c r="P7" s="152"/>
      <c r="Q7" s="152"/>
      <c r="R7" s="152"/>
      <c r="S7" s="152"/>
      <c r="T7" s="152"/>
      <c r="U7" s="152"/>
      <c r="V7" s="152"/>
      <c r="W7" s="152"/>
      <c r="X7" s="152"/>
      <c r="Y7" s="152"/>
      <c r="Z7" s="152"/>
    </row>
    <row r="8" spans="1:26" ht="14.25" customHeight="1">
      <c r="A8" s="21" t="s">
        <v>44</v>
      </c>
      <c r="B8" s="22">
        <v>7000</v>
      </c>
      <c r="C8" s="23"/>
      <c r="D8" s="3"/>
      <c r="E8" s="24"/>
      <c r="F8" s="25"/>
      <c r="G8" s="25"/>
      <c r="H8" s="27"/>
      <c r="I8" s="28"/>
      <c r="J8" s="3"/>
      <c r="K8" s="3"/>
      <c r="L8" s="3"/>
      <c r="M8" s="3"/>
      <c r="N8" s="3"/>
      <c r="O8" s="3"/>
      <c r="P8" s="3"/>
      <c r="Q8" s="3"/>
      <c r="R8" s="3"/>
      <c r="S8" s="3"/>
      <c r="T8" s="3"/>
      <c r="U8" s="3"/>
      <c r="V8" s="3"/>
      <c r="W8" s="3"/>
      <c r="X8" s="3"/>
      <c r="Y8" s="3"/>
      <c r="Z8" s="3"/>
    </row>
    <row r="9" spans="1:26" ht="14.25" customHeight="1">
      <c r="A9" s="21" t="s">
        <v>45</v>
      </c>
      <c r="B9" s="6">
        <v>100</v>
      </c>
      <c r="C9" s="23"/>
      <c r="D9" s="3"/>
      <c r="E9" s="24"/>
      <c r="F9" s="25"/>
      <c r="G9" s="25"/>
      <c r="H9" s="27"/>
      <c r="I9" s="28"/>
      <c r="J9" s="3"/>
      <c r="K9" s="3"/>
      <c r="L9" s="3"/>
      <c r="M9" s="3"/>
      <c r="N9" s="3"/>
      <c r="O9" s="3"/>
      <c r="P9" s="3"/>
      <c r="Q9" s="3"/>
      <c r="R9" s="3"/>
      <c r="S9" s="3"/>
      <c r="T9" s="3"/>
      <c r="U9" s="3"/>
      <c r="V9" s="3"/>
      <c r="W9" s="3"/>
      <c r="X9" s="3"/>
      <c r="Y9" s="3"/>
      <c r="Z9" s="3"/>
    </row>
    <row r="10" spans="1:26" ht="14.25" customHeight="1">
      <c r="A10" s="29"/>
      <c r="B10" s="387" t="s">
        <v>46</v>
      </c>
      <c r="C10" s="402" t="s">
        <v>9</v>
      </c>
      <c r="D10" s="384"/>
      <c r="E10" s="389" t="s">
        <v>47</v>
      </c>
      <c r="F10" s="387" t="s">
        <v>48</v>
      </c>
      <c r="G10" s="392" t="s">
        <v>49</v>
      </c>
      <c r="H10" s="27"/>
      <c r="I10" s="28"/>
      <c r="J10" s="3"/>
      <c r="K10" s="3"/>
      <c r="L10" s="3"/>
      <c r="M10" s="3"/>
      <c r="N10" s="3"/>
      <c r="O10" s="3"/>
      <c r="P10" s="3"/>
      <c r="Q10" s="3"/>
      <c r="R10" s="3"/>
      <c r="S10" s="3"/>
      <c r="T10" s="3"/>
      <c r="U10" s="3"/>
      <c r="V10" s="3"/>
      <c r="W10" s="3"/>
      <c r="X10" s="3"/>
      <c r="Y10" s="3"/>
      <c r="Z10" s="3"/>
    </row>
    <row r="11" spans="1:26" ht="14.25" customHeight="1">
      <c r="A11" s="24"/>
      <c r="B11" s="388"/>
      <c r="C11" s="30" t="s">
        <v>50</v>
      </c>
      <c r="D11" s="134">
        <v>0.08</v>
      </c>
      <c r="E11" s="390"/>
      <c r="F11" s="388"/>
      <c r="G11" s="388"/>
      <c r="H11" s="8"/>
      <c r="I11" s="28"/>
      <c r="J11" s="5"/>
      <c r="K11" s="5"/>
      <c r="L11" s="5"/>
      <c r="M11" s="5"/>
      <c r="N11" s="5"/>
      <c r="O11" s="5"/>
      <c r="P11" s="5"/>
      <c r="Q11" s="5"/>
      <c r="R11" s="5"/>
      <c r="S11" s="5"/>
      <c r="T11" s="5"/>
      <c r="U11" s="5"/>
      <c r="V11" s="5"/>
      <c r="W11" s="5"/>
      <c r="X11" s="5"/>
      <c r="Y11" s="5"/>
      <c r="Z11" s="5"/>
    </row>
    <row r="12" spans="1:26" ht="14.25" customHeight="1">
      <c r="A12" s="24"/>
      <c r="B12" s="388"/>
      <c r="C12" s="32" t="s">
        <v>51</v>
      </c>
      <c r="D12" s="135">
        <v>0</v>
      </c>
      <c r="E12" s="390"/>
      <c r="F12" s="388"/>
      <c r="G12" s="388"/>
      <c r="H12" s="8"/>
      <c r="I12" s="28"/>
      <c r="J12" s="5"/>
      <c r="K12" s="5"/>
      <c r="L12" s="5"/>
      <c r="M12" s="5"/>
      <c r="N12" s="5"/>
      <c r="O12" s="5"/>
      <c r="P12" s="5"/>
      <c r="Q12" s="5"/>
      <c r="R12" s="5"/>
      <c r="S12" s="5"/>
      <c r="T12" s="5"/>
      <c r="U12" s="5"/>
      <c r="V12" s="5"/>
      <c r="W12" s="5"/>
      <c r="X12" s="5"/>
      <c r="Y12" s="5"/>
      <c r="Z12" s="5"/>
    </row>
    <row r="13" spans="1:26" ht="14.25" customHeight="1">
      <c r="A13" s="24"/>
      <c r="B13" s="388"/>
      <c r="C13" s="32" t="s">
        <v>52</v>
      </c>
      <c r="D13" s="135">
        <v>7.0000000000000007E-2</v>
      </c>
      <c r="E13" s="390"/>
      <c r="F13" s="388"/>
      <c r="G13" s="388"/>
      <c r="H13" s="8"/>
      <c r="I13" s="28"/>
      <c r="J13" s="5"/>
      <c r="K13" s="5"/>
      <c r="L13" s="5"/>
      <c r="M13" s="5"/>
      <c r="N13" s="5"/>
      <c r="O13" s="5"/>
      <c r="P13" s="5"/>
      <c r="Q13" s="5"/>
      <c r="R13" s="5"/>
      <c r="S13" s="5"/>
      <c r="T13" s="5"/>
      <c r="U13" s="5"/>
      <c r="V13" s="5"/>
      <c r="W13" s="5"/>
      <c r="X13" s="5"/>
      <c r="Y13" s="5"/>
      <c r="Z13" s="5"/>
    </row>
    <row r="14" spans="1:26" ht="14.25" customHeight="1">
      <c r="A14" s="24"/>
      <c r="B14" s="366"/>
      <c r="C14" s="33" t="s">
        <v>53</v>
      </c>
      <c r="D14" s="34">
        <f>C15-SUM(D11:D13)</f>
        <v>0</v>
      </c>
      <c r="E14" s="391"/>
      <c r="F14" s="366"/>
      <c r="G14" s="366"/>
      <c r="H14" s="8"/>
      <c r="I14" s="28"/>
      <c r="J14" s="5"/>
      <c r="K14" s="5"/>
      <c r="L14" s="5"/>
      <c r="M14" s="5"/>
      <c r="N14" s="5"/>
      <c r="O14" s="5"/>
      <c r="P14" s="5"/>
      <c r="Q14" s="5"/>
      <c r="R14" s="5"/>
      <c r="S14" s="5"/>
      <c r="T14" s="5"/>
      <c r="U14" s="5"/>
      <c r="V14" s="5"/>
      <c r="W14" s="5"/>
      <c r="X14" s="5"/>
      <c r="Y14" s="5"/>
      <c r="Z14" s="5"/>
    </row>
    <row r="15" spans="1:26" ht="14.25" customHeight="1">
      <c r="A15" s="35" t="s">
        <v>54</v>
      </c>
      <c r="B15" s="36">
        <f>B2</f>
        <v>0.35</v>
      </c>
      <c r="C15" s="393">
        <f>B3</f>
        <v>0.15</v>
      </c>
      <c r="D15" s="394"/>
      <c r="E15" s="37">
        <f>B4</f>
        <v>0.2</v>
      </c>
      <c r="F15" s="37">
        <f>B5</f>
        <v>0.3</v>
      </c>
      <c r="G15" s="38"/>
      <c r="H15" s="8"/>
      <c r="I15" s="28"/>
      <c r="J15" s="5"/>
      <c r="K15" s="5"/>
      <c r="L15" s="5"/>
      <c r="M15" s="5"/>
      <c r="N15" s="5"/>
      <c r="O15" s="5"/>
      <c r="P15" s="5"/>
      <c r="Q15" s="5"/>
      <c r="R15" s="5"/>
      <c r="S15" s="5"/>
      <c r="T15" s="5"/>
      <c r="U15" s="5"/>
      <c r="V15" s="5"/>
      <c r="W15" s="5"/>
      <c r="X15" s="5"/>
      <c r="Y15" s="5"/>
      <c r="Z15" s="5"/>
    </row>
    <row r="16" spans="1:26" ht="14.25" customHeight="1">
      <c r="A16" s="39" t="s">
        <v>55</v>
      </c>
      <c r="B16" s="40">
        <f t="shared" ref="B16:C16" si="0">B15*$B$8</f>
        <v>2450</v>
      </c>
      <c r="C16" s="395">
        <f t="shared" si="0"/>
        <v>1050</v>
      </c>
      <c r="D16" s="396"/>
      <c r="E16" s="40">
        <f t="shared" ref="E16:F16" si="1">E15*$B$8</f>
        <v>1400</v>
      </c>
      <c r="F16" s="40">
        <f t="shared" si="1"/>
        <v>2100</v>
      </c>
      <c r="G16" s="41"/>
      <c r="H16" s="8"/>
      <c r="I16" s="43"/>
      <c r="J16" s="5"/>
      <c r="K16" s="5"/>
      <c r="L16" s="5"/>
      <c r="M16" s="5"/>
      <c r="N16" s="5"/>
      <c r="O16" s="5"/>
      <c r="P16" s="5"/>
      <c r="Q16" s="5"/>
      <c r="R16" s="5"/>
      <c r="S16" s="5"/>
      <c r="T16" s="5"/>
      <c r="U16" s="5"/>
      <c r="V16" s="5"/>
      <c r="W16" s="5"/>
      <c r="X16" s="5"/>
      <c r="Y16" s="5"/>
      <c r="Z16" s="5"/>
    </row>
    <row r="17" spans="1:26" ht="14.25" customHeight="1">
      <c r="A17" s="44" t="s">
        <v>56</v>
      </c>
      <c r="B17" s="45">
        <f t="shared" ref="B17:C17" si="2">0.9*B16</f>
        <v>2205</v>
      </c>
      <c r="C17" s="397">
        <f t="shared" si="2"/>
        <v>945</v>
      </c>
      <c r="D17" s="398"/>
      <c r="E17" s="45">
        <f t="shared" ref="E17:F17" si="3">0.9*E16</f>
        <v>1260</v>
      </c>
      <c r="F17" s="45">
        <f t="shared" si="3"/>
        <v>1890</v>
      </c>
      <c r="G17" s="46" t="s">
        <v>57</v>
      </c>
      <c r="H17" s="8"/>
      <c r="I17" s="43"/>
      <c r="J17" s="5"/>
      <c r="K17" s="5"/>
      <c r="L17" s="5"/>
      <c r="M17" s="5"/>
      <c r="N17" s="5"/>
      <c r="O17" s="5"/>
      <c r="P17" s="5"/>
      <c r="Q17" s="5"/>
      <c r="R17" s="5"/>
      <c r="S17" s="5"/>
      <c r="T17" s="5"/>
      <c r="U17" s="5"/>
      <c r="V17" s="5"/>
      <c r="W17" s="5"/>
      <c r="X17" s="5"/>
      <c r="Y17" s="5"/>
      <c r="Z17" s="5"/>
    </row>
    <row r="18" spans="1:26" ht="14.25" customHeight="1">
      <c r="A18" s="47" t="s">
        <v>58</v>
      </c>
      <c r="B18" s="48">
        <f t="shared" ref="B18:C18" si="4">ROUND(B17*75/70,0)</f>
        <v>2363</v>
      </c>
      <c r="C18" s="399">
        <f t="shared" si="4"/>
        <v>1013</v>
      </c>
      <c r="D18" s="400"/>
      <c r="E18" s="48">
        <f t="shared" ref="E18:F18" si="5">ROUND(E17*75/70,0)</f>
        <v>1350</v>
      </c>
      <c r="F18" s="48">
        <f t="shared" si="5"/>
        <v>2025</v>
      </c>
      <c r="G18" s="49" t="s">
        <v>59</v>
      </c>
      <c r="H18" s="8"/>
      <c r="I18" s="43"/>
      <c r="J18" s="5"/>
      <c r="K18" s="5"/>
      <c r="L18" s="5"/>
      <c r="M18" s="5"/>
      <c r="N18" s="5"/>
      <c r="O18" s="5"/>
      <c r="P18" s="5"/>
      <c r="Q18" s="5"/>
      <c r="R18" s="5"/>
      <c r="S18" s="5"/>
      <c r="T18" s="5"/>
      <c r="U18" s="5"/>
      <c r="V18" s="5"/>
      <c r="W18" s="5"/>
      <c r="X18" s="5"/>
      <c r="Y18" s="5"/>
      <c r="Z18" s="5"/>
    </row>
    <row r="19" spans="1:26" ht="14.25" customHeight="1">
      <c r="A19" s="50" t="s">
        <v>60</v>
      </c>
      <c r="B19" s="51">
        <v>250</v>
      </c>
      <c r="C19" s="401" t="str">
        <f>IF($C$15=0,0,ROUND((350*D11+275*SUM(D12:D14))/C15,0))&amp;" € (350 € BRS et 275 € autres produits)"</f>
        <v>315 € (350 € BRS et 275 € autres produits)</v>
      </c>
      <c r="D19" s="364"/>
      <c r="E19" s="51">
        <v>650</v>
      </c>
      <c r="F19" s="51">
        <v>650</v>
      </c>
      <c r="G19" s="52"/>
      <c r="H19" s="8"/>
      <c r="I19" s="43"/>
      <c r="J19" s="5"/>
      <c r="K19" s="5"/>
      <c r="L19" s="5"/>
      <c r="M19" s="5"/>
      <c r="N19" s="5"/>
      <c r="O19" s="5"/>
      <c r="P19" s="5"/>
      <c r="Q19" s="5"/>
      <c r="R19" s="5"/>
      <c r="S19" s="5"/>
      <c r="T19" s="5"/>
      <c r="U19" s="5"/>
      <c r="V19" s="5"/>
      <c r="W19" s="5"/>
      <c r="X19" s="5"/>
      <c r="Y19" s="5"/>
      <c r="Z19" s="5"/>
    </row>
    <row r="20" spans="1:26" ht="14.25" customHeight="1">
      <c r="A20" s="50" t="s">
        <v>61</v>
      </c>
      <c r="B20" s="53">
        <f t="shared" ref="B20:C20" si="6">B15*$B$9</f>
        <v>35</v>
      </c>
      <c r="C20" s="363">
        <f t="shared" si="6"/>
        <v>15</v>
      </c>
      <c r="D20" s="364"/>
      <c r="E20" s="53">
        <f t="shared" ref="E20:F20" si="7">E15*$B$9</f>
        <v>20</v>
      </c>
      <c r="F20" s="53">
        <f t="shared" si="7"/>
        <v>30</v>
      </c>
      <c r="G20" s="52"/>
      <c r="H20" s="54"/>
      <c r="I20" s="55"/>
      <c r="J20" s="5"/>
      <c r="K20" s="5"/>
      <c r="L20" s="5"/>
      <c r="M20" s="5"/>
      <c r="N20" s="5"/>
      <c r="O20" s="5"/>
      <c r="P20" s="5"/>
      <c r="Q20" s="5"/>
      <c r="R20" s="5"/>
      <c r="S20" s="5"/>
      <c r="T20" s="5"/>
      <c r="U20" s="5"/>
      <c r="V20" s="5"/>
      <c r="W20" s="5"/>
      <c r="X20" s="5"/>
      <c r="Y20" s="5"/>
      <c r="Z20" s="5"/>
    </row>
    <row r="21" spans="1:26" ht="14.25" customHeight="1">
      <c r="A21" s="50" t="s">
        <v>62</v>
      </c>
      <c r="B21" s="53">
        <f>ROUND(B20*0.5,0)</f>
        <v>18</v>
      </c>
      <c r="C21" s="363">
        <f>ROUND(C20*0.7,0)</f>
        <v>11</v>
      </c>
      <c r="D21" s="364"/>
      <c r="E21" s="53">
        <f t="shared" ref="E21:F21" si="8">ROUND(E20*0.7,0)</f>
        <v>14</v>
      </c>
      <c r="F21" s="53">
        <f t="shared" si="8"/>
        <v>21</v>
      </c>
      <c r="G21" s="52" t="s">
        <v>146</v>
      </c>
      <c r="H21" s="54"/>
      <c r="I21" s="55"/>
      <c r="J21" s="5"/>
      <c r="K21" s="5"/>
      <c r="L21" s="5"/>
      <c r="M21" s="5"/>
      <c r="N21" s="5"/>
      <c r="O21" s="5"/>
      <c r="P21" s="5"/>
      <c r="Q21" s="5"/>
      <c r="R21" s="5"/>
      <c r="S21" s="5"/>
      <c r="T21" s="5"/>
      <c r="U21" s="5"/>
      <c r="V21" s="5"/>
      <c r="W21" s="5"/>
      <c r="X21" s="5"/>
      <c r="Y21" s="5"/>
      <c r="Z21" s="5"/>
    </row>
    <row r="22" spans="1:26" ht="14.25" customHeight="1">
      <c r="A22" s="365" t="s">
        <v>63</v>
      </c>
      <c r="B22" s="247">
        <v>2300</v>
      </c>
      <c r="C22" s="403" t="s">
        <v>64</v>
      </c>
      <c r="D22" s="368"/>
      <c r="E22" s="140">
        <v>4535</v>
      </c>
      <c r="F22" s="136"/>
      <c r="G22" s="56"/>
      <c r="H22" s="54"/>
      <c r="I22" s="55"/>
      <c r="J22" s="5"/>
      <c r="K22" s="5"/>
      <c r="L22" s="5"/>
      <c r="M22" s="5"/>
      <c r="N22" s="5"/>
      <c r="O22" s="5"/>
      <c r="P22" s="5"/>
      <c r="Q22" s="5"/>
      <c r="R22" s="5"/>
      <c r="S22" s="5"/>
      <c r="T22" s="5"/>
      <c r="U22" s="5"/>
      <c r="V22" s="5"/>
      <c r="W22" s="5"/>
      <c r="X22" s="5"/>
      <c r="Y22" s="5"/>
      <c r="Z22" s="5"/>
    </row>
    <row r="23" spans="1:26" ht="60">
      <c r="A23" s="366"/>
      <c r="B23" s="57" t="s">
        <v>65</v>
      </c>
      <c r="C23" s="369"/>
      <c r="D23" s="370"/>
      <c r="E23" s="57" t="s">
        <v>66</v>
      </c>
      <c r="F23" s="57"/>
      <c r="G23" s="58"/>
      <c r="H23" s="5"/>
      <c r="I23" s="5"/>
      <c r="J23" s="5"/>
      <c r="K23" s="5"/>
      <c r="L23" s="5"/>
      <c r="M23" s="5"/>
      <c r="N23" s="5"/>
      <c r="O23" s="5"/>
      <c r="P23" s="5"/>
      <c r="Q23" s="5"/>
      <c r="R23" s="5"/>
      <c r="S23" s="5"/>
      <c r="T23" s="5"/>
      <c r="U23" s="5"/>
      <c r="V23" s="5"/>
      <c r="W23" s="5"/>
      <c r="X23" s="5"/>
      <c r="Y23" s="5"/>
      <c r="Z23" s="5"/>
    </row>
    <row r="24" spans="1:26" ht="14.25" customHeight="1">
      <c r="A24" s="5"/>
      <c r="B24" s="5"/>
      <c r="C24" s="5"/>
      <c r="D24" s="5"/>
      <c r="E24" s="5"/>
      <c r="F24" s="142"/>
      <c r="G24" s="142"/>
    </row>
    <row r="25" spans="1:26" ht="21">
      <c r="A25" s="343" t="s">
        <v>67</v>
      </c>
      <c r="B25" s="343"/>
      <c r="C25" s="343"/>
      <c r="D25" s="343"/>
      <c r="E25" s="343"/>
      <c r="F25" s="343"/>
      <c r="G25" s="343"/>
      <c r="H25" s="152"/>
      <c r="I25" s="152"/>
      <c r="J25" s="152"/>
      <c r="K25" s="152"/>
      <c r="L25" s="152"/>
      <c r="M25" s="152"/>
      <c r="N25" s="152"/>
      <c r="O25" s="152"/>
      <c r="P25" s="152"/>
      <c r="Q25" s="152"/>
      <c r="R25" s="152"/>
      <c r="S25" s="152"/>
      <c r="T25" s="152"/>
      <c r="U25" s="152"/>
      <c r="V25" s="152"/>
      <c r="W25" s="152"/>
      <c r="X25" s="152"/>
      <c r="Y25" s="152"/>
      <c r="Z25" s="152"/>
    </row>
    <row r="26" spans="1:26" ht="33.75" customHeight="1">
      <c r="A26" s="59" t="s">
        <v>68</v>
      </c>
      <c r="B26" s="60" t="s">
        <v>69</v>
      </c>
      <c r="C26" s="61" t="s">
        <v>70</v>
      </c>
      <c r="D26" s="61" t="s">
        <v>71</v>
      </c>
      <c r="E26" s="371" t="s">
        <v>72</v>
      </c>
      <c r="F26" s="372"/>
      <c r="G26" s="320"/>
    </row>
    <row r="27" spans="1:26" ht="30.6">
      <c r="A27" s="62" t="s">
        <v>73</v>
      </c>
      <c r="B27" s="198" t="s">
        <v>193</v>
      </c>
      <c r="C27" s="64"/>
      <c r="D27" s="194" t="s">
        <v>74</v>
      </c>
      <c r="E27" s="373"/>
      <c r="F27" s="374"/>
      <c r="G27" s="375"/>
    </row>
    <row r="28" spans="1:26">
      <c r="A28" s="65" t="s">
        <v>75</v>
      </c>
      <c r="B28" s="66"/>
      <c r="C28" s="67"/>
      <c r="D28" s="65"/>
      <c r="E28" s="68"/>
      <c r="F28" s="68"/>
      <c r="G28" s="68"/>
    </row>
    <row r="29" spans="1:26" ht="28.8">
      <c r="A29" s="69" t="s">
        <v>76</v>
      </c>
      <c r="B29" s="70" t="s">
        <v>77</v>
      </c>
      <c r="C29" s="71"/>
      <c r="D29" s="194" t="s">
        <v>74</v>
      </c>
      <c r="E29" s="334"/>
      <c r="F29" s="335"/>
      <c r="G29" s="336"/>
    </row>
    <row r="30" spans="1:26" ht="24">
      <c r="A30" s="72" t="s">
        <v>78</v>
      </c>
      <c r="B30" s="73" t="s">
        <v>79</v>
      </c>
      <c r="C30" s="200" t="s">
        <v>197</v>
      </c>
      <c r="D30" s="194" t="s">
        <v>74</v>
      </c>
      <c r="E30" s="337"/>
      <c r="F30" s="338"/>
      <c r="G30" s="339"/>
    </row>
    <row r="31" spans="1:26" ht="24">
      <c r="A31" s="72" t="s">
        <v>80</v>
      </c>
      <c r="B31" s="73" t="s">
        <v>79</v>
      </c>
      <c r="C31" s="200" t="s">
        <v>198</v>
      </c>
      <c r="D31" s="194" t="s">
        <v>74</v>
      </c>
      <c r="E31" s="337"/>
      <c r="F31" s="338"/>
      <c r="G31" s="339"/>
    </row>
    <row r="32" spans="1:26" ht="28.8">
      <c r="A32" s="74" t="s">
        <v>81</v>
      </c>
      <c r="B32" s="75" t="s">
        <v>82</v>
      </c>
      <c r="C32" s="201" t="s">
        <v>199</v>
      </c>
      <c r="D32" s="194" t="s">
        <v>74</v>
      </c>
      <c r="E32" s="357"/>
      <c r="F32" s="358"/>
      <c r="G32" s="359"/>
    </row>
    <row r="33" spans="1:26">
      <c r="A33" s="76" t="s">
        <v>83</v>
      </c>
      <c r="B33" s="77"/>
      <c r="C33" s="78"/>
      <c r="D33" s="79"/>
      <c r="E33" s="80"/>
      <c r="F33" s="80"/>
      <c r="G33" s="80"/>
    </row>
    <row r="34" spans="1:26" ht="36">
      <c r="A34" s="196" t="s">
        <v>191</v>
      </c>
      <c r="B34" s="81" t="s">
        <v>84</v>
      </c>
      <c r="C34" s="82" t="s">
        <v>85</v>
      </c>
      <c r="D34" s="194" t="s">
        <v>74</v>
      </c>
      <c r="E34" s="360"/>
      <c r="F34" s="361"/>
      <c r="G34" s="362"/>
    </row>
    <row r="35" spans="1:26" ht="28.8">
      <c r="A35" s="72" t="s">
        <v>86</v>
      </c>
      <c r="B35" s="83" t="s">
        <v>87</v>
      </c>
      <c r="C35" s="84" t="s">
        <v>88</v>
      </c>
      <c r="D35" s="194" t="s">
        <v>74</v>
      </c>
      <c r="E35" s="337"/>
      <c r="F35" s="338"/>
      <c r="G35" s="339"/>
    </row>
    <row r="36" spans="1:26" ht="28.8">
      <c r="A36" s="74" t="s">
        <v>89</v>
      </c>
      <c r="B36" s="63" t="s">
        <v>90</v>
      </c>
      <c r="C36" s="64"/>
      <c r="D36" s="194" t="s">
        <v>74</v>
      </c>
      <c r="E36" s="337"/>
      <c r="F36" s="338"/>
      <c r="G36" s="339"/>
    </row>
    <row r="37" spans="1:26">
      <c r="A37" s="85" t="s">
        <v>91</v>
      </c>
      <c r="B37" s="86"/>
      <c r="C37" s="87"/>
      <c r="D37" s="85"/>
      <c r="E37" s="88"/>
      <c r="F37" s="88"/>
      <c r="G37" s="88"/>
    </row>
    <row r="38" spans="1:26" ht="23.4">
      <c r="A38" s="346" t="s">
        <v>92</v>
      </c>
      <c r="B38" s="347" t="s">
        <v>93</v>
      </c>
      <c r="C38" s="199" t="s">
        <v>194</v>
      </c>
      <c r="D38" s="194" t="s">
        <v>74</v>
      </c>
      <c r="E38" s="334"/>
      <c r="F38" s="335"/>
      <c r="G38" s="336"/>
    </row>
    <row r="39" spans="1:26" ht="23.4">
      <c r="A39" s="317"/>
      <c r="B39" s="317"/>
      <c r="C39" s="197" t="s">
        <v>195</v>
      </c>
      <c r="D39" s="194" t="s">
        <v>74</v>
      </c>
      <c r="E39" s="337"/>
      <c r="F39" s="338"/>
      <c r="G39" s="339"/>
    </row>
    <row r="40" spans="1:26" ht="23.4">
      <c r="A40" s="315" t="s">
        <v>94</v>
      </c>
      <c r="B40" s="318" t="s">
        <v>95</v>
      </c>
      <c r="C40" s="84" t="s">
        <v>96</v>
      </c>
      <c r="D40" s="194" t="s">
        <v>74</v>
      </c>
      <c r="E40" s="337"/>
      <c r="F40" s="338"/>
      <c r="G40" s="339"/>
    </row>
    <row r="41" spans="1:26" ht="23.4">
      <c r="A41" s="316"/>
      <c r="B41" s="316"/>
      <c r="C41" s="84" t="s">
        <v>97</v>
      </c>
      <c r="D41" s="194" t="s">
        <v>74</v>
      </c>
      <c r="E41" s="337"/>
      <c r="F41" s="338"/>
      <c r="G41" s="339"/>
    </row>
    <row r="42" spans="1:26" ht="23.4">
      <c r="A42" s="317"/>
      <c r="B42" s="317"/>
      <c r="C42" s="197" t="s">
        <v>192</v>
      </c>
      <c r="D42" s="194" t="s">
        <v>74</v>
      </c>
      <c r="E42" s="337"/>
      <c r="F42" s="338"/>
      <c r="G42" s="339"/>
    </row>
    <row r="43" spans="1:26" ht="23.4">
      <c r="A43" s="315" t="s">
        <v>98</v>
      </c>
      <c r="B43" s="195" t="s">
        <v>190</v>
      </c>
      <c r="C43" s="84" t="s">
        <v>99</v>
      </c>
      <c r="D43" s="194" t="s">
        <v>74</v>
      </c>
      <c r="E43" s="337"/>
      <c r="F43" s="338"/>
      <c r="G43" s="339"/>
    </row>
    <row r="44" spans="1:26" ht="24">
      <c r="A44" s="317"/>
      <c r="B44" s="73" t="s">
        <v>100</v>
      </c>
      <c r="C44" s="89" t="s">
        <v>101</v>
      </c>
      <c r="D44" s="194" t="s">
        <v>74</v>
      </c>
      <c r="E44" s="337"/>
      <c r="F44" s="338"/>
      <c r="G44" s="339"/>
    </row>
    <row r="45" spans="1:26" ht="14.25" customHeight="1">
      <c r="A45" s="90"/>
      <c r="B45" s="344" t="s">
        <v>196</v>
      </c>
      <c r="C45" s="345"/>
      <c r="D45" s="345"/>
      <c r="E45" s="345"/>
      <c r="F45" s="345"/>
      <c r="G45" s="345"/>
      <c r="H45" s="2"/>
      <c r="I45" s="2"/>
      <c r="J45" s="2"/>
      <c r="K45" s="2"/>
      <c r="L45" s="2"/>
      <c r="M45" s="2"/>
      <c r="N45" s="2"/>
      <c r="O45" s="2"/>
      <c r="P45" s="2"/>
      <c r="Q45" s="2"/>
      <c r="R45" s="2"/>
      <c r="S45" s="2"/>
      <c r="T45" s="2"/>
      <c r="U45" s="2"/>
      <c r="V45" s="2"/>
      <c r="W45" s="2"/>
      <c r="X45" s="2"/>
      <c r="Y45" s="2"/>
      <c r="Z45" s="2"/>
    </row>
    <row r="46" spans="1:26" ht="14.25" customHeight="1">
      <c r="A46" s="94"/>
      <c r="B46" s="93"/>
      <c r="C46" s="91"/>
      <c r="D46" s="92"/>
      <c r="E46" s="91"/>
      <c r="F46" s="91"/>
      <c r="G46" s="91"/>
    </row>
    <row r="47" spans="1:26" ht="21">
      <c r="A47" s="343" t="s">
        <v>102</v>
      </c>
      <c r="B47" s="343"/>
      <c r="C47" s="343"/>
      <c r="D47" s="343"/>
      <c r="E47" s="343"/>
      <c r="F47" s="343"/>
      <c r="G47" s="343"/>
      <c r="H47" s="152"/>
      <c r="I47" s="152"/>
      <c r="J47" s="152"/>
      <c r="K47" s="152"/>
      <c r="L47" s="152"/>
      <c r="M47" s="152"/>
      <c r="N47" s="152"/>
      <c r="O47" s="152"/>
      <c r="P47" s="152"/>
      <c r="Q47" s="152"/>
      <c r="R47" s="152"/>
      <c r="S47" s="152"/>
      <c r="T47" s="152"/>
      <c r="U47" s="152"/>
      <c r="V47" s="152"/>
      <c r="W47" s="152"/>
      <c r="X47" s="152"/>
      <c r="Y47" s="152"/>
      <c r="Z47" s="152"/>
    </row>
    <row r="48" spans="1:26" ht="14.25" customHeight="1">
      <c r="A48" s="3" t="s">
        <v>103</v>
      </c>
      <c r="B48" s="3"/>
      <c r="C48" s="95" t="s">
        <v>104</v>
      </c>
      <c r="D48" s="95" t="s">
        <v>105</v>
      </c>
      <c r="E48" s="95" t="s">
        <v>106</v>
      </c>
      <c r="F48" s="95" t="s">
        <v>107</v>
      </c>
      <c r="G48" s="3" t="s">
        <v>49</v>
      </c>
    </row>
    <row r="49" spans="1:26" ht="14.25" customHeight="1">
      <c r="A49" s="150" t="s">
        <v>108</v>
      </c>
      <c r="B49" s="96"/>
      <c r="C49" s="96"/>
      <c r="D49" s="96"/>
      <c r="E49" s="97">
        <f t="shared" ref="E49:F49" si="9">E50+E56</f>
        <v>3218250</v>
      </c>
      <c r="F49" s="97">
        <f t="shared" si="9"/>
        <v>3725128.75</v>
      </c>
      <c r="G49" s="128">
        <f>F49/$F$77</f>
        <v>0.25764881660279393</v>
      </c>
      <c r="H49" s="1"/>
      <c r="I49" s="1"/>
      <c r="J49" s="1"/>
      <c r="K49" s="1"/>
      <c r="L49" s="1"/>
      <c r="M49" s="1"/>
      <c r="N49" s="1"/>
      <c r="O49" s="1"/>
      <c r="P49" s="1"/>
      <c r="Q49" s="1"/>
      <c r="R49" s="1"/>
      <c r="S49" s="1"/>
      <c r="T49" s="1"/>
      <c r="U49" s="1"/>
      <c r="V49" s="1"/>
      <c r="W49" s="1"/>
      <c r="X49" s="1"/>
      <c r="Y49" s="1"/>
      <c r="Z49" s="1"/>
    </row>
    <row r="50" spans="1:26" ht="14.25" customHeight="1">
      <c r="A50" s="312" t="s">
        <v>109</v>
      </c>
      <c r="B50" s="312"/>
      <c r="C50" s="99"/>
      <c r="D50" s="4"/>
      <c r="E50" s="100">
        <f t="shared" ref="E50:F50" si="10">SUM(E51:E55)</f>
        <v>3218250</v>
      </c>
      <c r="F50" s="100">
        <f t="shared" si="10"/>
        <v>3725128.75</v>
      </c>
      <c r="G50" s="101"/>
      <c r="H50" s="102"/>
      <c r="I50" s="102"/>
      <c r="J50" s="102"/>
      <c r="K50" s="102"/>
      <c r="L50" s="102"/>
      <c r="M50" s="102"/>
      <c r="N50" s="102"/>
      <c r="O50" s="102"/>
      <c r="P50" s="102"/>
      <c r="Q50" s="102"/>
      <c r="R50" s="102"/>
      <c r="S50" s="102"/>
      <c r="T50" s="102"/>
      <c r="U50" s="102"/>
      <c r="V50" s="102"/>
      <c r="W50" s="102"/>
      <c r="X50" s="102"/>
      <c r="Y50" s="102"/>
      <c r="Z50" s="102"/>
    </row>
    <row r="51" spans="1:26" ht="14.25" customHeight="1">
      <c r="A51" s="324" t="s">
        <v>110</v>
      </c>
      <c r="B51" s="324"/>
      <c r="C51" s="202">
        <f>B19</f>
        <v>250</v>
      </c>
      <c r="D51" s="203">
        <f>B15*$B$8</f>
        <v>2450</v>
      </c>
      <c r="E51" s="204">
        <f t="shared" ref="E51:E56" si="11">C51*D51</f>
        <v>612500</v>
      </c>
      <c r="F51" s="204">
        <f t="shared" ref="F51:F52" si="12">E51*1.055</f>
        <v>646187.5</v>
      </c>
      <c r="G51" s="205" t="s">
        <v>111</v>
      </c>
      <c r="H51" s="103"/>
      <c r="I51" s="103"/>
      <c r="J51" s="103"/>
      <c r="K51" s="103"/>
      <c r="L51" s="103"/>
      <c r="M51" s="103"/>
      <c r="N51" s="103"/>
      <c r="O51" s="103"/>
      <c r="P51" s="103"/>
      <c r="Q51" s="103"/>
      <c r="R51" s="103"/>
      <c r="S51" s="103"/>
      <c r="T51" s="103"/>
      <c r="U51" s="103"/>
      <c r="V51" s="103"/>
      <c r="W51" s="103"/>
      <c r="X51" s="103"/>
      <c r="Y51" s="103"/>
      <c r="Z51" s="103"/>
    </row>
    <row r="52" spans="1:26" ht="14.25" customHeight="1">
      <c r="A52" s="324" t="s">
        <v>50</v>
      </c>
      <c r="B52" s="325"/>
      <c r="C52" s="202">
        <v>350</v>
      </c>
      <c r="D52" s="203">
        <f>D11*$B$8</f>
        <v>560</v>
      </c>
      <c r="E52" s="206">
        <f t="shared" si="11"/>
        <v>196000</v>
      </c>
      <c r="F52" s="206">
        <f t="shared" si="12"/>
        <v>206780</v>
      </c>
      <c r="G52" s="205" t="s">
        <v>111</v>
      </c>
      <c r="H52" s="14"/>
      <c r="I52" s="14"/>
      <c r="J52" s="14"/>
      <c r="K52" s="14"/>
      <c r="L52" s="14"/>
      <c r="M52" s="14"/>
      <c r="N52" s="14"/>
      <c r="O52" s="14"/>
      <c r="P52" s="14"/>
      <c r="Q52" s="14"/>
      <c r="R52" s="14"/>
      <c r="S52" s="14"/>
      <c r="T52" s="14"/>
      <c r="U52" s="14"/>
      <c r="V52" s="14"/>
      <c r="W52" s="14"/>
      <c r="X52" s="14"/>
      <c r="Y52" s="14"/>
      <c r="Z52" s="14"/>
    </row>
    <row r="53" spans="1:26" ht="14.25" customHeight="1">
      <c r="A53" s="324" t="s">
        <v>112</v>
      </c>
      <c r="B53" s="325"/>
      <c r="C53" s="202">
        <v>275</v>
      </c>
      <c r="D53" s="203">
        <f>SUM(D12:D14)*B8</f>
        <v>490.00000000000006</v>
      </c>
      <c r="E53" s="204">
        <f t="shared" si="11"/>
        <v>134750.00000000003</v>
      </c>
      <c r="F53" s="204">
        <f>IF(SUM($D$12:$D$14)=0,0,E53*(1.055*SUM($D$12:$D$13)+1.2*$D$14)/SUM($D$12:$D$14))</f>
        <v>142161.25000000003</v>
      </c>
      <c r="G53" s="205" t="str">
        <f>"TVA moyenne de "&amp;IF(E53=0,0,ROUND((F53/E53-1)*100,2))&amp;" % (prorata SDP)"</f>
        <v>TVA moyenne de 5,5 % (prorata SDP)</v>
      </c>
      <c r="H53" s="103"/>
      <c r="I53" s="103"/>
      <c r="J53" s="103"/>
      <c r="K53" s="103"/>
      <c r="L53" s="103"/>
      <c r="M53" s="103"/>
      <c r="N53" s="103"/>
      <c r="O53" s="103"/>
      <c r="P53" s="103"/>
      <c r="Q53" s="103"/>
      <c r="R53" s="103"/>
      <c r="S53" s="103"/>
      <c r="T53" s="103"/>
      <c r="U53" s="103"/>
      <c r="V53" s="103"/>
      <c r="W53" s="103"/>
      <c r="X53" s="103"/>
      <c r="Y53" s="103"/>
      <c r="Z53" s="103"/>
    </row>
    <row r="54" spans="1:26" ht="14.25" customHeight="1">
      <c r="A54" s="324" t="s">
        <v>8</v>
      </c>
      <c r="B54" s="325"/>
      <c r="C54" s="202">
        <f>E19</f>
        <v>650</v>
      </c>
      <c r="D54" s="203">
        <f>(E15+F15)*$B$8</f>
        <v>3500</v>
      </c>
      <c r="E54" s="206">
        <f t="shared" si="11"/>
        <v>2275000</v>
      </c>
      <c r="F54" s="206">
        <f>E54*1.2</f>
        <v>2730000</v>
      </c>
      <c r="G54" s="205" t="s">
        <v>113</v>
      </c>
      <c r="H54" s="14"/>
      <c r="I54" s="14"/>
      <c r="J54" s="14"/>
      <c r="K54" s="14"/>
      <c r="L54" s="14"/>
      <c r="M54" s="14"/>
      <c r="N54" s="14"/>
      <c r="O54" s="14"/>
      <c r="P54" s="14"/>
      <c r="Q54" s="14"/>
      <c r="R54" s="14"/>
      <c r="S54" s="14"/>
      <c r="T54" s="14"/>
      <c r="U54" s="14"/>
      <c r="V54" s="14"/>
      <c r="W54" s="14"/>
      <c r="X54" s="14"/>
      <c r="Y54" s="14"/>
      <c r="Z54" s="14"/>
    </row>
    <row r="55" spans="1:26" ht="14.25" customHeight="1">
      <c r="A55" s="326" t="s">
        <v>15</v>
      </c>
      <c r="B55" s="327"/>
      <c r="C55" s="207">
        <v>1600</v>
      </c>
      <c r="D55" s="208">
        <f>D60</f>
        <v>0</v>
      </c>
      <c r="E55" s="209">
        <f t="shared" si="11"/>
        <v>0</v>
      </c>
      <c r="F55" s="210">
        <f>IF($C$15=0,E55*(1.2*($E$21+$F$21)+1.055*$B$21)/($B$21+$E$21+$F$21),E55*(1.2*($E$21+$F$21+$C$21*$D$14/$C$15)+1.055*($B$21+$C$21*SUM($D$11:$D$13)/$C$15))/($B$21+$C$21+$E$21+$F$21))</f>
        <v>0</v>
      </c>
      <c r="G55" s="211" t="str">
        <f>"TVA moyenne de "&amp;IF(E55=0,"",ROUND((F55/E55-1)*100,2))&amp;" % (prorata nb places)"</f>
        <v>TVA moyenne de  % (prorata nb places)</v>
      </c>
      <c r="H55" s="103"/>
      <c r="I55" s="103"/>
      <c r="J55" s="103"/>
      <c r="K55" s="103"/>
      <c r="L55" s="103"/>
      <c r="M55" s="103"/>
      <c r="N55" s="103"/>
      <c r="O55" s="103"/>
      <c r="P55" s="103"/>
      <c r="Q55" s="103"/>
      <c r="R55" s="103"/>
      <c r="S55" s="103"/>
      <c r="T55" s="103"/>
      <c r="U55" s="103"/>
      <c r="V55" s="103"/>
      <c r="W55" s="103"/>
      <c r="X55" s="103"/>
      <c r="Y55" s="103"/>
      <c r="Z55" s="103"/>
    </row>
    <row r="56" spans="1:26" ht="14.25" customHeight="1">
      <c r="A56" s="328" t="s">
        <v>114</v>
      </c>
      <c r="B56" s="329"/>
      <c r="C56" s="137"/>
      <c r="D56" s="104">
        <f>SUM(B21:E21)-D60</f>
        <v>43</v>
      </c>
      <c r="E56" s="105">
        <f t="shared" si="11"/>
        <v>0</v>
      </c>
      <c r="F56" s="105">
        <f>E56*1.2</f>
        <v>0</v>
      </c>
      <c r="G56" s="7"/>
    </row>
    <row r="57" spans="1:26" ht="14.25" customHeight="1">
      <c r="A57" s="96" t="s">
        <v>115</v>
      </c>
      <c r="B57" s="96"/>
      <c r="C57" s="127"/>
      <c r="D57" s="127"/>
      <c r="E57" s="97">
        <f t="shared" ref="E57:F57" si="13">E59+E60+E58</f>
        <v>0</v>
      </c>
      <c r="F57" s="97">
        <f t="shared" si="13"/>
        <v>0</v>
      </c>
      <c r="G57" s="128">
        <f>F57/$F$77</f>
        <v>0</v>
      </c>
      <c r="H57" s="1"/>
      <c r="I57" s="1"/>
      <c r="J57" s="1"/>
      <c r="K57" s="1"/>
      <c r="L57" s="1"/>
      <c r="M57" s="1"/>
      <c r="N57" s="1"/>
      <c r="O57" s="1"/>
      <c r="P57" s="1"/>
      <c r="Q57" s="1"/>
      <c r="R57" s="1"/>
      <c r="S57" s="1"/>
      <c r="T57" s="1"/>
      <c r="U57" s="1"/>
      <c r="V57" s="1"/>
      <c r="W57" s="1"/>
      <c r="X57" s="1"/>
      <c r="Y57" s="1"/>
      <c r="Z57" s="1"/>
    </row>
    <row r="58" spans="1:26" ht="14.25" customHeight="1">
      <c r="A58" s="330" t="s">
        <v>116</v>
      </c>
      <c r="B58" s="330"/>
      <c r="C58" s="138">
        <v>0</v>
      </c>
      <c r="D58" s="108">
        <f>SUM(B17:F17)</f>
        <v>6300</v>
      </c>
      <c r="E58" s="109">
        <f>D58*C58</f>
        <v>0</v>
      </c>
      <c r="F58" s="109">
        <f t="shared" ref="F58:F60" si="14">IF($C$15=0,E58*(1.2*($E$16+$F$16)+1.055*$B$16)/$B$8,E58*(1.2*($E$16+$F$16+$C$16*$D$14/$C$15)+1.055*($B$16+$C$16*SUM($D$11:$D$13)/$C$15))/$B$8)</f>
        <v>0</v>
      </c>
      <c r="G58" s="244" t="str">
        <f>"TVA moyenne de "&amp;IF(E58=0,"",ROUND((F58/E58-1)*100,2))&amp;" % (prorata SDP)"</f>
        <v>TVA moyenne de  % (prorata SDP)</v>
      </c>
      <c r="H58" s="107"/>
      <c r="I58" s="107"/>
      <c r="J58" s="107"/>
      <c r="K58" s="107"/>
      <c r="L58" s="107"/>
      <c r="M58" s="107"/>
      <c r="N58" s="107"/>
      <c r="O58" s="107"/>
      <c r="P58" s="107"/>
      <c r="Q58" s="107"/>
      <c r="R58" s="107"/>
      <c r="S58" s="107"/>
      <c r="T58" s="107"/>
      <c r="U58" s="107"/>
      <c r="V58" s="107"/>
      <c r="W58" s="107"/>
      <c r="X58" s="107"/>
      <c r="Y58" s="107"/>
      <c r="Z58" s="107"/>
    </row>
    <row r="59" spans="1:26" ht="14.25" customHeight="1">
      <c r="A59" s="308" t="s">
        <v>117</v>
      </c>
      <c r="B59" s="309"/>
      <c r="C59" s="214">
        <v>0</v>
      </c>
      <c r="D59" s="215">
        <f>SUM(B17:F17)</f>
        <v>6300</v>
      </c>
      <c r="E59" s="216">
        <f>C59*D59</f>
        <v>0</v>
      </c>
      <c r="F59" s="216">
        <f t="shared" si="14"/>
        <v>0</v>
      </c>
      <c r="G59" s="223" t="str">
        <f>"TVA moyenne de "&amp;IF(E59=0,"",ROUND(100*(F59/E59-1),2))&amp;"% (prorata SdP)"</f>
        <v>TVA moyenne de % (prorata SdP)</v>
      </c>
    </row>
    <row r="60" spans="1:26" ht="14.25" customHeight="1">
      <c r="A60" s="330" t="s">
        <v>118</v>
      </c>
      <c r="B60" s="348"/>
      <c r="C60" s="212">
        <v>0</v>
      </c>
      <c r="D60" s="213">
        <v>0</v>
      </c>
      <c r="E60" s="109">
        <f>C60*D60</f>
        <v>0</v>
      </c>
      <c r="F60" s="110">
        <f t="shared" si="14"/>
        <v>0</v>
      </c>
      <c r="G60" s="245" t="str">
        <f>"TVA moyenne de "&amp;IF(E60=0,"",ROUND((F60/E60-1)*100,2))&amp;" % (prorata nb places)"</f>
        <v>TVA moyenne de  % (prorata nb places)</v>
      </c>
    </row>
    <row r="61" spans="1:26" ht="14.25" customHeight="1">
      <c r="A61" s="96" t="s">
        <v>119</v>
      </c>
      <c r="B61" s="96"/>
      <c r="C61" s="127"/>
      <c r="D61" s="106"/>
      <c r="E61" s="97">
        <f t="shared" ref="E61:F61" si="15">SUM(E62:E66)</f>
        <v>0</v>
      </c>
      <c r="F61" s="97">
        <f t="shared" si="15"/>
        <v>0</v>
      </c>
      <c r="G61" s="128">
        <f>F61/$F$77</f>
        <v>0</v>
      </c>
      <c r="H61" s="1"/>
      <c r="I61" s="1"/>
      <c r="J61" s="1"/>
      <c r="K61" s="1"/>
      <c r="L61" s="1"/>
      <c r="M61" s="1"/>
      <c r="N61" s="1"/>
      <c r="O61" s="1"/>
      <c r="P61" s="1"/>
      <c r="Q61" s="1"/>
      <c r="R61" s="1"/>
      <c r="S61" s="1"/>
      <c r="T61" s="1"/>
      <c r="U61" s="1"/>
      <c r="V61" s="1"/>
      <c r="W61" s="1"/>
      <c r="X61" s="1"/>
      <c r="Y61" s="1"/>
      <c r="Z61" s="1"/>
    </row>
    <row r="62" spans="1:26" ht="14.25" customHeight="1">
      <c r="A62" s="349" t="s">
        <v>120</v>
      </c>
      <c r="B62" s="350"/>
      <c r="C62" s="217">
        <v>0</v>
      </c>
      <c r="D62" s="218" t="s">
        <v>121</v>
      </c>
      <c r="E62" s="219">
        <f>C62*$E$77</f>
        <v>0</v>
      </c>
      <c r="F62" s="219">
        <f t="shared" ref="F62:F66" si="16">IF($C$15=0,E62*(1.2*($E$16+$F$16)+1.055*$B$16)/$B$8,E62*(1.2*($E$16+$F$16+$C$16*$D$14/$C$15)+1.055*($B$16+$C$16*SUM($D$11:$D$13)/$C$15))/$B$8)</f>
        <v>0</v>
      </c>
      <c r="G62" s="220" t="str">
        <f>"TVA moyenne de "&amp;IF(E62=0,"",ROUND(100*(F62/E62-1),2))&amp;"% (prorata SdP)"</f>
        <v>TVA moyenne de % (prorata SdP)</v>
      </c>
      <c r="H62" s="102"/>
      <c r="I62" s="102"/>
      <c r="J62" s="102"/>
      <c r="K62" s="102"/>
      <c r="L62" s="102"/>
      <c r="M62" s="102"/>
      <c r="N62" s="102"/>
      <c r="O62" s="102"/>
      <c r="P62" s="102"/>
      <c r="Q62" s="102"/>
      <c r="R62" s="102"/>
      <c r="S62" s="102"/>
      <c r="T62" s="102"/>
      <c r="U62" s="102"/>
      <c r="V62" s="102"/>
      <c r="W62" s="102"/>
      <c r="X62" s="102"/>
      <c r="Y62" s="102"/>
      <c r="Z62" s="102"/>
    </row>
    <row r="63" spans="1:26" ht="14.25" customHeight="1">
      <c r="A63" s="308" t="s">
        <v>122</v>
      </c>
      <c r="B63" s="309"/>
      <c r="C63" s="221">
        <v>0</v>
      </c>
      <c r="D63" s="222" t="s">
        <v>121</v>
      </c>
      <c r="E63" s="216">
        <f>C63*$E$77</f>
        <v>0</v>
      </c>
      <c r="F63" s="216">
        <f t="shared" si="16"/>
        <v>0</v>
      </c>
      <c r="G63" s="220" t="str">
        <f t="shared" ref="G63:G66" si="17">"TVA moyenne de "&amp;IF(E63=0,"",ROUND(100*(F63/E63-1),2))&amp;"% (prorata SdP)"</f>
        <v>TVA moyenne de % (prorata SdP)</v>
      </c>
      <c r="H63" s="102"/>
      <c r="I63" s="102"/>
      <c r="J63" s="102"/>
      <c r="K63" s="102"/>
      <c r="L63" s="102"/>
      <c r="M63" s="102"/>
      <c r="N63" s="102"/>
      <c r="O63" s="102"/>
      <c r="P63" s="102"/>
      <c r="Q63" s="102"/>
      <c r="R63" s="102"/>
      <c r="S63" s="102"/>
      <c r="T63" s="102"/>
      <c r="U63" s="102"/>
      <c r="V63" s="102"/>
      <c r="W63" s="102"/>
      <c r="X63" s="102"/>
      <c r="Y63" s="102"/>
      <c r="Z63" s="102"/>
    </row>
    <row r="64" spans="1:26" ht="14.25" customHeight="1">
      <c r="A64" s="308" t="s">
        <v>123</v>
      </c>
      <c r="B64" s="309"/>
      <c r="C64" s="221">
        <v>0</v>
      </c>
      <c r="D64" s="222" t="s">
        <v>121</v>
      </c>
      <c r="E64" s="216">
        <f>C64*$E$77</f>
        <v>0</v>
      </c>
      <c r="F64" s="216">
        <f t="shared" si="16"/>
        <v>0</v>
      </c>
      <c r="G64" s="220" t="str">
        <f t="shared" si="17"/>
        <v>TVA moyenne de % (prorata SdP)</v>
      </c>
      <c r="H64" s="102"/>
      <c r="I64" s="102"/>
      <c r="J64" s="102"/>
      <c r="K64" s="102"/>
      <c r="L64" s="102"/>
      <c r="M64" s="102"/>
      <c r="N64" s="102"/>
      <c r="O64" s="102"/>
      <c r="P64" s="102"/>
      <c r="Q64" s="102"/>
      <c r="R64" s="102"/>
      <c r="S64" s="102"/>
      <c r="T64" s="102"/>
      <c r="U64" s="102"/>
      <c r="V64" s="102"/>
      <c r="W64" s="102"/>
      <c r="X64" s="102"/>
      <c r="Y64" s="102"/>
      <c r="Z64" s="102"/>
    </row>
    <row r="65" spans="1:26" ht="14.25" customHeight="1">
      <c r="A65" s="308" t="s">
        <v>124</v>
      </c>
      <c r="B65" s="309"/>
      <c r="C65" s="221">
        <v>0</v>
      </c>
      <c r="D65" s="222" t="s">
        <v>121</v>
      </c>
      <c r="E65" s="216">
        <f>C65*$E$77</f>
        <v>0</v>
      </c>
      <c r="F65" s="216">
        <f t="shared" si="16"/>
        <v>0</v>
      </c>
      <c r="G65" s="220" t="str">
        <f t="shared" si="17"/>
        <v>TVA moyenne de % (prorata SdP)</v>
      </c>
      <c r="H65" s="102"/>
      <c r="I65" s="102"/>
      <c r="J65" s="102"/>
      <c r="K65" s="102"/>
      <c r="L65" s="102"/>
      <c r="M65" s="102"/>
      <c r="N65" s="102"/>
      <c r="O65" s="102"/>
      <c r="P65" s="102"/>
      <c r="Q65" s="102"/>
      <c r="R65" s="102"/>
      <c r="S65" s="102"/>
      <c r="T65" s="102"/>
      <c r="U65" s="102"/>
      <c r="V65" s="102"/>
      <c r="W65" s="102"/>
      <c r="X65" s="102"/>
      <c r="Y65" s="102"/>
      <c r="Z65" s="102"/>
    </row>
    <row r="66" spans="1:26" ht="14.25" customHeight="1">
      <c r="A66" s="310" t="s">
        <v>125</v>
      </c>
      <c r="B66" s="311"/>
      <c r="C66" s="139">
        <v>0</v>
      </c>
      <c r="D66" s="133" t="s">
        <v>121</v>
      </c>
      <c r="E66" s="110">
        <f>C66*$E$77</f>
        <v>0</v>
      </c>
      <c r="F66" s="110">
        <f t="shared" si="16"/>
        <v>0</v>
      </c>
      <c r="G66" s="111" t="str">
        <f t="shared" si="17"/>
        <v>TVA moyenne de % (prorata SdP)</v>
      </c>
      <c r="H66" s="102"/>
      <c r="I66" s="102"/>
      <c r="J66" s="102"/>
      <c r="K66" s="102"/>
      <c r="L66" s="102"/>
      <c r="M66" s="102"/>
      <c r="N66" s="102"/>
      <c r="O66" s="102"/>
      <c r="P66" s="102"/>
      <c r="Q66" s="102"/>
      <c r="R66" s="102"/>
      <c r="S66" s="102"/>
      <c r="T66" s="102"/>
      <c r="U66" s="102"/>
      <c r="V66" s="102"/>
      <c r="W66" s="102"/>
      <c r="X66" s="102"/>
      <c r="Y66" s="102"/>
      <c r="Z66" s="102"/>
    </row>
    <row r="67" spans="1:26" ht="14.25" customHeight="1">
      <c r="A67" s="112" t="s">
        <v>126</v>
      </c>
      <c r="B67" s="112"/>
      <c r="C67" s="129"/>
      <c r="D67" s="113"/>
      <c r="E67" s="114">
        <f t="shared" ref="E67:F67" si="18">SUM(E49,E57,E61)</f>
        <v>3218250</v>
      </c>
      <c r="F67" s="114">
        <f t="shared" si="18"/>
        <v>3725128.75</v>
      </c>
      <c r="G67" s="115"/>
      <c r="H67" s="9"/>
      <c r="I67" s="9"/>
      <c r="J67" s="9"/>
      <c r="K67" s="9"/>
      <c r="L67" s="9"/>
      <c r="M67" s="9"/>
      <c r="N67" s="9"/>
      <c r="O67" s="9"/>
      <c r="P67" s="9"/>
      <c r="Q67" s="9"/>
      <c r="R67" s="9"/>
      <c r="S67" s="9"/>
      <c r="T67" s="9"/>
      <c r="U67" s="9"/>
      <c r="V67" s="9"/>
      <c r="W67" s="9"/>
      <c r="X67" s="9"/>
      <c r="Y67" s="9"/>
      <c r="Z67" s="9"/>
    </row>
    <row r="68" spans="1:26" ht="14.25" customHeight="1">
      <c r="A68" s="96" t="s">
        <v>127</v>
      </c>
      <c r="B68" s="96"/>
      <c r="C68" s="130"/>
      <c r="D68" s="96"/>
      <c r="E68" s="97">
        <f t="shared" ref="E68:F68" si="19">SUM(E69:E76)</f>
        <v>13049961.973333335</v>
      </c>
      <c r="F68" s="97">
        <f t="shared" si="19"/>
        <v>14458163.631866667</v>
      </c>
      <c r="G68" s="98"/>
      <c r="H68" s="1"/>
      <c r="I68" s="1"/>
      <c r="J68" s="1"/>
      <c r="K68" s="1"/>
      <c r="L68" s="1"/>
      <c r="M68" s="1"/>
      <c r="N68" s="1"/>
      <c r="O68" s="1"/>
      <c r="P68" s="1"/>
      <c r="Q68" s="1"/>
      <c r="R68" s="1"/>
      <c r="S68" s="1"/>
      <c r="T68" s="1"/>
      <c r="U68" s="1"/>
      <c r="V68" s="1"/>
      <c r="W68" s="1"/>
      <c r="X68" s="1"/>
      <c r="Y68" s="1"/>
      <c r="Z68" s="1"/>
    </row>
    <row r="69" spans="1:26" ht="14.25" customHeight="1">
      <c r="A69" s="312" t="s">
        <v>128</v>
      </c>
      <c r="B69" s="312"/>
      <c r="C69" s="131">
        <f>E22</f>
        <v>4535</v>
      </c>
      <c r="D69" s="116">
        <f>E17</f>
        <v>1260</v>
      </c>
      <c r="E69" s="100">
        <f t="shared" ref="E69:E70" si="20">F69/1.2</f>
        <v>4761750</v>
      </c>
      <c r="F69" s="100">
        <f>C69*D69</f>
        <v>5714100</v>
      </c>
      <c r="G69" s="117" t="s">
        <v>113</v>
      </c>
    </row>
    <row r="70" spans="1:26" ht="14.25" customHeight="1">
      <c r="A70" s="355" t="s">
        <v>129</v>
      </c>
      <c r="B70" s="356"/>
      <c r="C70" s="224">
        <f>F22</f>
        <v>0</v>
      </c>
      <c r="D70" s="225">
        <f>F17</f>
        <v>1890</v>
      </c>
      <c r="E70" s="226">
        <f t="shared" si="20"/>
        <v>0</v>
      </c>
      <c r="F70" s="226">
        <f>C70*D70</f>
        <v>0</v>
      </c>
      <c r="G70" s="227" t="s">
        <v>113</v>
      </c>
    </row>
    <row r="71" spans="1:26" ht="14.25" customHeight="1">
      <c r="A71" s="353" t="s">
        <v>130</v>
      </c>
      <c r="B71" s="354"/>
      <c r="C71" s="228">
        <f>3338*0.8</f>
        <v>2670.4</v>
      </c>
      <c r="D71" s="229">
        <f>IF($C$15=0,0,C18*$D$11/$C$15)</f>
        <v>540.26666666666677</v>
      </c>
      <c r="E71" s="230">
        <f>C71*D71</f>
        <v>1442728.1066666669</v>
      </c>
      <c r="F71" s="230">
        <f>1.055*E71</f>
        <v>1522078.1525333335</v>
      </c>
      <c r="G71" s="231" t="s">
        <v>111</v>
      </c>
    </row>
    <row r="72" spans="1:26" ht="14.25" customHeight="1">
      <c r="A72" s="355" t="s">
        <v>131</v>
      </c>
      <c r="B72" s="356"/>
      <c r="C72" s="232">
        <f>C52</f>
        <v>350</v>
      </c>
      <c r="D72" s="225">
        <f>IF($C$15=0,0,C16*$D$11/$C$15)</f>
        <v>560</v>
      </c>
      <c r="E72" s="226">
        <f>C72*D72</f>
        <v>196000</v>
      </c>
      <c r="F72" s="226">
        <f>E72*1.055</f>
        <v>206780</v>
      </c>
      <c r="G72" s="233" t="s">
        <v>111</v>
      </c>
    </row>
    <row r="73" spans="1:26" ht="14.25" customHeight="1">
      <c r="A73" s="351" t="s">
        <v>132</v>
      </c>
      <c r="B73" s="352"/>
      <c r="C73" s="234">
        <v>3338</v>
      </c>
      <c r="D73" s="235">
        <f>IF($C$15=0,0,C18*SUM($D$12:$D$13)/$C$15)</f>
        <v>472.73333333333341</v>
      </c>
      <c r="E73" s="236">
        <f>C73*D73</f>
        <v>1577983.8666666669</v>
      </c>
      <c r="F73" s="236">
        <f>1.055*E73</f>
        <v>1664772.9793333334</v>
      </c>
      <c r="G73" s="237" t="s">
        <v>111</v>
      </c>
    </row>
    <row r="74" spans="1:26" ht="14.25" customHeight="1">
      <c r="A74" s="351" t="s">
        <v>133</v>
      </c>
      <c r="B74" s="352"/>
      <c r="C74" s="238">
        <v>3000</v>
      </c>
      <c r="D74" s="235">
        <f>IF($C$15=0,0,C17*$D$14/$C$15+4.5*ROUND($C$20*$D$14/$C$15,0))</f>
        <v>0</v>
      </c>
      <c r="E74" s="236">
        <f>F74/1.2</f>
        <v>0</v>
      </c>
      <c r="F74" s="236">
        <f>D74*C74</f>
        <v>0</v>
      </c>
      <c r="G74" s="237" t="s">
        <v>113</v>
      </c>
    </row>
    <row r="75" spans="1:26" ht="14.25" customHeight="1">
      <c r="A75" s="351" t="s">
        <v>134</v>
      </c>
      <c r="B75" s="352"/>
      <c r="C75" s="239">
        <f>B22</f>
        <v>2300</v>
      </c>
      <c r="D75" s="235">
        <f>+B17</f>
        <v>2205</v>
      </c>
      <c r="E75" s="236">
        <f>C75*D75</f>
        <v>5071500</v>
      </c>
      <c r="F75" s="236">
        <f>1.055*E75</f>
        <v>5350432.5</v>
      </c>
      <c r="G75" s="240" t="s">
        <v>111</v>
      </c>
    </row>
    <row r="76" spans="1:26" ht="14.25" customHeight="1">
      <c r="A76" s="353" t="s">
        <v>135</v>
      </c>
      <c r="B76" s="354"/>
      <c r="C76" s="241">
        <v>0</v>
      </c>
      <c r="D76" s="242">
        <f>SUM(B21:E21)</f>
        <v>43</v>
      </c>
      <c r="E76" s="243">
        <f>IF($C$15=0,F76/((1.2*($E$21+$F$21)+1.055*$B$21)/($B$21+$E$21+$F$21)),F76/((1.2*($C$21*$D$14/$C$15+$E$21+$F$21)+1.055*($B$21+$C$21*SUM($D$11:$D$13)/$C$15))/($B$21+$C$21+$E$21+$F$21)))</f>
        <v>0</v>
      </c>
      <c r="F76" s="230">
        <f>C76*SUM(B21:F21)</f>
        <v>0</v>
      </c>
      <c r="G76" s="246" t="str">
        <f>"TVA moyenne de "&amp;IF(E76=0,"",ROUND(100*(F76/E76-1),2))&amp;"% (prorata nb places)"</f>
        <v>TVA moyenne de % (prorata nb places)</v>
      </c>
    </row>
    <row r="77" spans="1:26" ht="14.25" customHeight="1">
      <c r="A77" s="112" t="s">
        <v>136</v>
      </c>
      <c r="B77" s="112"/>
      <c r="C77" s="132"/>
      <c r="D77" s="112"/>
      <c r="E77" s="114">
        <f t="shared" ref="E77:F77" si="21">E68</f>
        <v>13049961.973333335</v>
      </c>
      <c r="F77" s="114">
        <f t="shared" si="21"/>
        <v>14458163.631866667</v>
      </c>
      <c r="G77" s="115"/>
      <c r="H77" s="9"/>
      <c r="I77" s="9"/>
      <c r="J77" s="9"/>
      <c r="K77" s="9"/>
      <c r="L77" s="9"/>
      <c r="M77" s="9"/>
      <c r="N77" s="9"/>
      <c r="O77" s="9"/>
      <c r="P77" s="9"/>
      <c r="Q77" s="9"/>
      <c r="R77" s="9"/>
      <c r="S77" s="9"/>
      <c r="T77" s="9"/>
      <c r="U77" s="9"/>
      <c r="V77" s="9"/>
      <c r="W77" s="9"/>
      <c r="X77" s="9"/>
      <c r="Y77" s="9"/>
      <c r="Z77" s="9"/>
    </row>
    <row r="78" spans="1:26" ht="14.25" customHeight="1">
      <c r="A78" s="118" t="s">
        <v>137</v>
      </c>
      <c r="B78" s="118"/>
      <c r="C78" s="119">
        <f>(F77-F67)/F77</f>
        <v>0.74235118339720607</v>
      </c>
      <c r="D78" s="120"/>
      <c r="E78" s="120"/>
      <c r="F78" s="121">
        <f>F77-F67</f>
        <v>10733034.881866667</v>
      </c>
      <c r="G78" s="122"/>
    </row>
    <row r="79" spans="1:26" ht="14.25" customHeight="1">
      <c r="A79" s="5"/>
      <c r="B79" s="5"/>
      <c r="C79" s="5"/>
      <c r="D79" s="5"/>
      <c r="E79" s="5"/>
      <c r="F79" s="5"/>
      <c r="G79" s="5"/>
    </row>
    <row r="80" spans="1:26" ht="21">
      <c r="A80" s="343" t="s">
        <v>138</v>
      </c>
      <c r="B80" s="343"/>
      <c r="C80" s="343"/>
      <c r="D80" s="343"/>
      <c r="E80" s="343"/>
      <c r="F80" s="343"/>
      <c r="G80" s="343"/>
      <c r="H80" s="152"/>
      <c r="I80" s="152"/>
      <c r="J80" s="152"/>
      <c r="K80" s="152"/>
      <c r="L80" s="152"/>
      <c r="M80" s="152"/>
      <c r="N80" s="152"/>
      <c r="O80" s="152"/>
      <c r="P80" s="152"/>
      <c r="Q80" s="152"/>
      <c r="R80" s="152"/>
      <c r="S80" s="152"/>
      <c r="T80" s="152"/>
      <c r="U80" s="152"/>
      <c r="V80" s="152"/>
      <c r="W80" s="152"/>
      <c r="X80" s="152"/>
      <c r="Y80" s="152"/>
      <c r="Z80" s="152"/>
    </row>
    <row r="81" spans="1:26" ht="44.25" customHeight="1">
      <c r="A81" s="319" t="s">
        <v>139</v>
      </c>
      <c r="B81" s="320"/>
      <c r="C81" s="340"/>
      <c r="D81" s="341"/>
      <c r="E81" s="341"/>
      <c r="F81" s="341"/>
      <c r="G81" s="342"/>
      <c r="H81" s="54"/>
      <c r="I81" s="54"/>
      <c r="J81" s="54"/>
      <c r="K81" s="54"/>
      <c r="L81" s="54"/>
      <c r="M81" s="54"/>
      <c r="N81" s="54"/>
      <c r="O81" s="54"/>
      <c r="P81" s="54"/>
      <c r="Q81" s="54"/>
      <c r="R81" s="54"/>
      <c r="S81" s="54"/>
      <c r="T81" s="54"/>
      <c r="U81" s="54"/>
      <c r="V81" s="54"/>
      <c r="W81" s="54"/>
      <c r="X81" s="54"/>
      <c r="Y81" s="54"/>
      <c r="Z81" s="54"/>
    </row>
    <row r="82" spans="1:26" ht="44.25" customHeight="1">
      <c r="A82" s="321" t="s">
        <v>140</v>
      </c>
      <c r="B82" s="314"/>
      <c r="C82" s="331"/>
      <c r="D82" s="332"/>
      <c r="E82" s="332"/>
      <c r="F82" s="332"/>
      <c r="G82" s="333"/>
      <c r="H82" s="54"/>
      <c r="I82" s="54"/>
      <c r="J82" s="54"/>
      <c r="K82" s="54"/>
      <c r="L82" s="54"/>
      <c r="M82" s="54"/>
      <c r="N82" s="54"/>
      <c r="O82" s="54"/>
      <c r="P82" s="54"/>
      <c r="Q82" s="54"/>
      <c r="R82" s="54"/>
      <c r="S82" s="54"/>
      <c r="T82" s="54"/>
      <c r="U82" s="54"/>
      <c r="V82" s="54"/>
      <c r="W82" s="54"/>
      <c r="X82" s="54"/>
      <c r="Y82" s="54"/>
      <c r="Z82" s="54"/>
    </row>
    <row r="83" spans="1:26" ht="44.25" customHeight="1">
      <c r="A83" s="405" t="s">
        <v>148</v>
      </c>
      <c r="B83" s="406"/>
      <c r="C83" s="331"/>
      <c r="D83" s="332"/>
      <c r="E83" s="332"/>
      <c r="F83" s="332"/>
      <c r="G83" s="333"/>
      <c r="H83" s="54"/>
      <c r="I83" s="54"/>
      <c r="J83" s="54"/>
      <c r="K83" s="54"/>
      <c r="L83" s="54"/>
      <c r="M83" s="54"/>
      <c r="N83" s="54"/>
      <c r="O83" s="54"/>
      <c r="P83" s="54"/>
      <c r="Q83" s="54"/>
      <c r="R83" s="54"/>
      <c r="S83" s="54"/>
      <c r="T83" s="54"/>
      <c r="U83" s="54"/>
      <c r="V83" s="54"/>
      <c r="W83" s="54"/>
      <c r="X83" s="54"/>
      <c r="Y83" s="54"/>
      <c r="Z83" s="54"/>
    </row>
    <row r="84" spans="1:26" ht="44.25" customHeight="1">
      <c r="A84" s="125" t="s">
        <v>141</v>
      </c>
      <c r="B84" s="124"/>
      <c r="C84" s="331"/>
      <c r="D84" s="332"/>
      <c r="E84" s="332"/>
      <c r="F84" s="332"/>
      <c r="G84" s="333"/>
      <c r="H84" s="54"/>
      <c r="I84" s="54"/>
      <c r="J84" s="54"/>
      <c r="K84" s="54"/>
      <c r="L84" s="54"/>
      <c r="M84" s="54"/>
      <c r="N84" s="54"/>
      <c r="O84" s="54"/>
      <c r="P84" s="54"/>
      <c r="Q84" s="54"/>
      <c r="R84" s="54"/>
      <c r="S84" s="54"/>
      <c r="T84" s="54"/>
      <c r="U84" s="54"/>
      <c r="V84" s="54"/>
      <c r="W84" s="54"/>
      <c r="X84" s="54"/>
      <c r="Y84" s="54"/>
      <c r="Z84" s="54"/>
    </row>
    <row r="85" spans="1:26" ht="48" customHeight="1">
      <c r="A85" s="404" t="s">
        <v>142</v>
      </c>
      <c r="B85" s="314"/>
      <c r="C85" s="331"/>
      <c r="D85" s="332"/>
      <c r="E85" s="332"/>
      <c r="F85" s="332"/>
      <c r="G85" s="333"/>
      <c r="H85" s="54"/>
      <c r="I85" s="54"/>
      <c r="J85" s="54"/>
      <c r="K85" s="54"/>
      <c r="L85" s="54"/>
      <c r="M85" s="54"/>
      <c r="N85" s="54"/>
      <c r="O85" s="54"/>
      <c r="P85" s="54"/>
      <c r="Q85" s="54"/>
      <c r="R85" s="54"/>
      <c r="S85" s="54"/>
      <c r="T85" s="54"/>
      <c r="U85" s="54"/>
      <c r="V85" s="54"/>
      <c r="W85" s="54"/>
      <c r="X85" s="54"/>
      <c r="Y85" s="54"/>
      <c r="Z85" s="54"/>
    </row>
    <row r="86" spans="1:26" ht="75.75" customHeight="1">
      <c r="A86" s="313" t="s">
        <v>143</v>
      </c>
      <c r="B86" s="314"/>
      <c r="C86" s="331"/>
      <c r="D86" s="332"/>
      <c r="E86" s="332"/>
      <c r="F86" s="332"/>
      <c r="G86" s="333"/>
      <c r="H86" s="54"/>
      <c r="I86" s="54"/>
      <c r="J86" s="54"/>
      <c r="K86" s="54"/>
      <c r="L86" s="54"/>
      <c r="M86" s="54"/>
      <c r="N86" s="54"/>
      <c r="O86" s="54"/>
      <c r="P86" s="54"/>
      <c r="Q86" s="54"/>
      <c r="R86" s="54"/>
      <c r="S86" s="54"/>
      <c r="T86" s="54"/>
      <c r="U86" s="54"/>
      <c r="V86" s="54"/>
      <c r="W86" s="54"/>
      <c r="X86" s="54"/>
      <c r="Y86" s="54"/>
      <c r="Z86" s="54"/>
    </row>
    <row r="87" spans="1:26" ht="48.75" customHeight="1">
      <c r="A87" s="313" t="s">
        <v>144</v>
      </c>
      <c r="B87" s="314"/>
      <c r="C87" s="331"/>
      <c r="D87" s="332"/>
      <c r="E87" s="332"/>
      <c r="F87" s="332"/>
      <c r="G87" s="333"/>
      <c r="H87" s="54"/>
      <c r="I87" s="54"/>
      <c r="J87" s="54"/>
      <c r="K87" s="54"/>
      <c r="L87" s="54"/>
      <c r="M87" s="54"/>
      <c r="N87" s="54"/>
      <c r="O87" s="54"/>
      <c r="P87" s="54"/>
      <c r="Q87" s="54"/>
      <c r="R87" s="54"/>
      <c r="S87" s="54"/>
      <c r="T87" s="54"/>
      <c r="U87" s="54"/>
      <c r="V87" s="54"/>
      <c r="W87" s="54"/>
      <c r="X87" s="54"/>
      <c r="Y87" s="54"/>
      <c r="Z87" s="54"/>
    </row>
    <row r="88" spans="1:26" ht="44.25" customHeight="1">
      <c r="A88" s="313" t="s">
        <v>145</v>
      </c>
      <c r="B88" s="314"/>
      <c r="C88" s="331"/>
      <c r="D88" s="332"/>
      <c r="E88" s="332"/>
      <c r="F88" s="332"/>
      <c r="G88" s="333"/>
      <c r="H88" s="54"/>
      <c r="I88" s="54"/>
      <c r="J88" s="54"/>
      <c r="K88" s="54"/>
      <c r="L88" s="54"/>
      <c r="M88" s="54"/>
      <c r="N88" s="54"/>
      <c r="O88" s="54"/>
      <c r="P88" s="54"/>
      <c r="Q88" s="54"/>
      <c r="R88" s="54"/>
      <c r="S88" s="54"/>
      <c r="T88" s="54"/>
      <c r="U88" s="54"/>
      <c r="V88" s="54"/>
      <c r="W88" s="54"/>
      <c r="X88" s="54"/>
      <c r="Y88" s="54"/>
      <c r="Z88" s="54"/>
    </row>
    <row r="89" spans="1:26" ht="14.25" customHeight="1"/>
    <row r="90" spans="1:26" ht="14.25" customHeight="1"/>
    <row r="91" spans="1:26" ht="14.25" customHeight="1"/>
    <row r="92" spans="1:26" ht="14.25" customHeight="1"/>
    <row r="93" spans="1:26" ht="14.25" customHeight="1"/>
    <row r="94" spans="1:26" ht="14.25" customHeight="1"/>
    <row r="95" spans="1:26" ht="14.25" customHeight="1"/>
    <row r="96" spans="1:2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row r="1001" ht="14.25" customHeight="1"/>
    <row r="1002" ht="14.25" customHeight="1"/>
  </sheetData>
  <sheetProtection algorithmName="SHA-512" hashValue="1TID3/tKYrTK4r7Q65IC0xibyODOJ7PzBeuJrfoDHmxsmCxLyHITeaxNRwO6sxIkXHaIx3bZgOeTGDqqiXx5oA==" saltValue="tos0Qjqrsu4wXXLM9Sb01Q==" spinCount="100000" sheet="1" objects="1" scenarios="1"/>
  <mergeCells count="81">
    <mergeCell ref="A88:B88"/>
    <mergeCell ref="C88:G88"/>
    <mergeCell ref="A80:G80"/>
    <mergeCell ref="A85:B85"/>
    <mergeCell ref="C85:G85"/>
    <mergeCell ref="A86:B86"/>
    <mergeCell ref="C86:G86"/>
    <mergeCell ref="A87:B87"/>
    <mergeCell ref="C87:G87"/>
    <mergeCell ref="A82:B82"/>
    <mergeCell ref="C82:G82"/>
    <mergeCell ref="A83:B83"/>
    <mergeCell ref="C83:G83"/>
    <mergeCell ref="C84:G84"/>
    <mergeCell ref="C81:G81"/>
    <mergeCell ref="A73:B73"/>
    <mergeCell ref="A74:B74"/>
    <mergeCell ref="A75:B75"/>
    <mergeCell ref="A76:B76"/>
    <mergeCell ref="A81:B81"/>
    <mergeCell ref="A72:B72"/>
    <mergeCell ref="A58:B58"/>
    <mergeCell ref="A59:B59"/>
    <mergeCell ref="A60:B60"/>
    <mergeCell ref="A62:B62"/>
    <mergeCell ref="A63:B63"/>
    <mergeCell ref="A64:B64"/>
    <mergeCell ref="A65:B65"/>
    <mergeCell ref="A66:B66"/>
    <mergeCell ref="A69:B69"/>
    <mergeCell ref="A70:B70"/>
    <mergeCell ref="A71:B71"/>
    <mergeCell ref="A56:B56"/>
    <mergeCell ref="A43:A44"/>
    <mergeCell ref="E43:G43"/>
    <mergeCell ref="E44:G44"/>
    <mergeCell ref="B45:G45"/>
    <mergeCell ref="A47:G47"/>
    <mergeCell ref="A50:B50"/>
    <mergeCell ref="A51:B51"/>
    <mergeCell ref="A52:B52"/>
    <mergeCell ref="A53:B53"/>
    <mergeCell ref="A54:B54"/>
    <mergeCell ref="A55:B55"/>
    <mergeCell ref="E36:G36"/>
    <mergeCell ref="A38:A39"/>
    <mergeCell ref="B38:B39"/>
    <mergeCell ref="E38:G38"/>
    <mergeCell ref="E39:G39"/>
    <mergeCell ref="A40:A42"/>
    <mergeCell ref="B40:B42"/>
    <mergeCell ref="E40:G40"/>
    <mergeCell ref="E41:G41"/>
    <mergeCell ref="E42:G42"/>
    <mergeCell ref="E35:G35"/>
    <mergeCell ref="C21:D21"/>
    <mergeCell ref="A22:A23"/>
    <mergeCell ref="C22:D23"/>
    <mergeCell ref="A25:G25"/>
    <mergeCell ref="E26:G26"/>
    <mergeCell ref="E27:G27"/>
    <mergeCell ref="E29:G29"/>
    <mergeCell ref="E30:G30"/>
    <mergeCell ref="E31:G31"/>
    <mergeCell ref="E32:G32"/>
    <mergeCell ref="E34:G34"/>
    <mergeCell ref="C20:D20"/>
    <mergeCell ref="C1:D1"/>
    <mergeCell ref="C2:D5"/>
    <mergeCell ref="E2:E5"/>
    <mergeCell ref="A7:G7"/>
    <mergeCell ref="B10:B14"/>
    <mergeCell ref="C10:D10"/>
    <mergeCell ref="E10:E14"/>
    <mergeCell ref="F10:F14"/>
    <mergeCell ref="G10:G14"/>
    <mergeCell ref="C15:D15"/>
    <mergeCell ref="C16:D16"/>
    <mergeCell ref="C17:D17"/>
    <mergeCell ref="C18:D18"/>
    <mergeCell ref="C19:D19"/>
  </mergeCells>
  <dataValidations count="5">
    <dataValidation type="list" allowBlank="1" showInputMessage="1" showErrorMessage="1" sqref="D27 D29:D32 D34:D36 D38:D44">
      <formula1>"OUI,NON"</formula1>
    </dataValidation>
    <dataValidation type="whole" operator="lessThanOrEqual" allowBlank="1" showDropDown="1" showInputMessage="1" showErrorMessage="1" error="doit être inférieur ou égal au total de places B21+C21+E21+F21" prompt="Renseigner le nombre de places réalisé sur l'opération s'il est fait le choix de ne pas les positionner exclusivement hors site (concession longue durée)" sqref="D60">
      <formula1>SUM(B21,C21,E21,F21)</formula1>
    </dataValidation>
    <dataValidation type="whole" operator="lessThanOrEqual" allowBlank="1" showInputMessage="1" showErrorMessage="1" error="23 800 € TTC max" prompt="23 800 € TTC max" sqref="C76">
      <formula1>23800</formula1>
    </dataValidation>
    <dataValidation type="list" allowBlank="1" showInputMessage="1" promptTitle="Choisir entre options tarifaires" prompt="   1. décaissement initial faible (18 300 € HT / pl) et frais de gestion annuels élevés_x000a_   2. décaissement initial élevé (21 650€ HT / pl) et frais de gestion annuels faibles" sqref="C56">
      <formula1>"18300,21650"</formula1>
    </dataValidation>
    <dataValidation type="list" allowBlank="1" showInputMessage="1" showErrorMessage="1" promptTitle="Choisir entre options" prompt="   - 2 250 € sans pk ou avec pk aérien_x000a_   - 2 300 € avec pk en ouvrage" sqref="B22">
      <formula1>"2250,2300"</formula1>
    </dataValidation>
  </dataValidations>
  <pageMargins left="0.23622047244094491" right="0.23622047244094491" top="0.74803149606299213" bottom="0.74803149606299213" header="0" footer="0"/>
  <pageSetup paperSize="8" scale="57" fitToHeight="0"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A1001"/>
  <sheetViews>
    <sheetView workbookViewId="0">
      <pane ySplit="5" topLeftCell="A6" activePane="bottomLeft" state="frozenSplit"/>
      <selection activeCell="G1" sqref="G1"/>
      <selection pane="bottomLeft" activeCell="D12" sqref="D12"/>
    </sheetView>
  </sheetViews>
  <sheetFormatPr baseColWidth="10" defaultColWidth="14.44140625" defaultRowHeight="14.4"/>
  <cols>
    <col min="1" max="1" width="48.44140625" bestFit="1" customWidth="1"/>
    <col min="2" max="2" width="31.21875" bestFit="1" customWidth="1"/>
    <col min="3" max="3" width="40.21875" bestFit="1" customWidth="1"/>
    <col min="4" max="4" width="14.77734375" customWidth="1"/>
    <col min="5" max="6" width="31.21875" customWidth="1"/>
    <col min="7" max="7" width="53.5546875" customWidth="1"/>
    <col min="8" max="8" width="56.21875" customWidth="1"/>
    <col min="9" max="27" width="10.77734375" customWidth="1"/>
  </cols>
  <sheetData>
    <row r="1" spans="1:27" ht="86.25" customHeight="1" thickBot="1">
      <c r="A1" s="144" t="s">
        <v>150</v>
      </c>
      <c r="B1" s="145" t="s">
        <v>151</v>
      </c>
      <c r="C1" s="407" t="s">
        <v>152</v>
      </c>
      <c r="D1" s="377"/>
      <c r="E1" s="12">
        <f>E22*0.6+3338*75/70*1.055*0.4</f>
        <v>4268.0528571428567</v>
      </c>
      <c r="F1" s="13" t="s">
        <v>41</v>
      </c>
      <c r="G1" s="123"/>
      <c r="H1" s="14"/>
      <c r="I1" s="14"/>
      <c r="J1" s="14"/>
    </row>
    <row r="2" spans="1:27" ht="14.25" customHeight="1" thickBot="1">
      <c r="A2" s="146" t="str">
        <f>B10</f>
        <v>Locatif social</v>
      </c>
      <c r="B2" s="147">
        <v>0</v>
      </c>
      <c r="C2" s="408" t="s">
        <v>42</v>
      </c>
      <c r="D2" s="379"/>
      <c r="E2" s="385">
        <f>(SUM(F69,F71,F73:F74)/(C17+E17))</f>
        <v>4044.5142857142855</v>
      </c>
      <c r="F2" s="17"/>
      <c r="G2" s="5"/>
      <c r="H2" s="14"/>
      <c r="I2" s="14"/>
      <c r="J2" s="14"/>
    </row>
    <row r="3" spans="1:27" ht="14.25" customHeight="1" thickBot="1">
      <c r="A3" s="148" t="str">
        <f>C10</f>
        <v>Accession encadrée</v>
      </c>
      <c r="B3" s="149">
        <v>0.4</v>
      </c>
      <c r="C3" s="409"/>
      <c r="D3" s="379"/>
      <c r="E3" s="316"/>
      <c r="F3" s="5"/>
      <c r="G3" s="5"/>
      <c r="H3" s="14"/>
      <c r="I3" s="14"/>
      <c r="J3" s="14"/>
    </row>
    <row r="4" spans="1:27" ht="14.25" customHeight="1" thickBot="1">
      <c r="A4" s="148" t="str">
        <f>E10</f>
        <v>Libre VAD</v>
      </c>
      <c r="B4" s="149">
        <v>0.6</v>
      </c>
      <c r="C4" s="409"/>
      <c r="D4" s="379"/>
      <c r="E4" s="316"/>
      <c r="F4" s="5"/>
      <c r="G4" s="5"/>
      <c r="H4" s="14"/>
      <c r="I4" s="14"/>
      <c r="J4" s="14"/>
    </row>
    <row r="5" spans="1:27" ht="14.25" customHeight="1" thickBot="1">
      <c r="A5" s="148" t="str">
        <f>F10</f>
        <v>Vente en bloc (LLI et résidences gérées)</v>
      </c>
      <c r="B5" s="149">
        <v>0</v>
      </c>
      <c r="C5" s="409"/>
      <c r="D5" s="382"/>
      <c r="E5" s="386"/>
      <c r="F5" s="5"/>
      <c r="G5" s="5"/>
      <c r="H5" s="14"/>
      <c r="I5" s="14"/>
      <c r="J5" s="14"/>
    </row>
    <row r="6" spans="1:27" ht="14.25" customHeight="1">
      <c r="A6" s="20"/>
      <c r="B6" s="20"/>
      <c r="C6" s="5"/>
      <c r="D6" s="5"/>
      <c r="E6" s="5"/>
      <c r="F6" s="5"/>
      <c r="G6" s="5"/>
      <c r="H6" s="14"/>
      <c r="I6" s="14"/>
      <c r="J6" s="14"/>
    </row>
    <row r="7" spans="1:27" ht="21">
      <c r="A7" s="343" t="s">
        <v>43</v>
      </c>
      <c r="B7" s="343"/>
      <c r="C7" s="343"/>
      <c r="D7" s="343"/>
      <c r="E7" s="343"/>
      <c r="F7" s="343"/>
      <c r="G7" s="343"/>
      <c r="H7" s="152"/>
      <c r="I7" s="152"/>
      <c r="J7" s="152"/>
      <c r="K7" s="152"/>
      <c r="L7" s="152"/>
      <c r="M7" s="152"/>
      <c r="N7" s="152"/>
      <c r="O7" s="152"/>
      <c r="P7" s="152"/>
      <c r="Q7" s="152"/>
      <c r="R7" s="152"/>
      <c r="S7" s="152"/>
      <c r="T7" s="152"/>
      <c r="U7" s="152"/>
      <c r="V7" s="152"/>
      <c r="W7" s="152"/>
      <c r="X7" s="152"/>
      <c r="Y7" s="152"/>
      <c r="Z7" s="152"/>
    </row>
    <row r="8" spans="1:27" ht="14.25" customHeight="1">
      <c r="A8" s="21" t="s">
        <v>44</v>
      </c>
      <c r="B8" s="22">
        <v>7000</v>
      </c>
      <c r="C8" s="23"/>
      <c r="D8" s="3"/>
      <c r="E8" s="24"/>
      <c r="F8" s="25"/>
      <c r="G8" s="25"/>
      <c r="H8" s="26"/>
      <c r="I8" s="27"/>
      <c r="J8" s="28"/>
      <c r="K8" s="3"/>
      <c r="L8" s="3"/>
      <c r="M8" s="3"/>
      <c r="N8" s="3"/>
      <c r="O8" s="3"/>
      <c r="P8" s="3"/>
      <c r="Q8" s="3"/>
      <c r="R8" s="3"/>
      <c r="S8" s="3"/>
      <c r="T8" s="3"/>
      <c r="U8" s="3"/>
      <c r="V8" s="3"/>
      <c r="W8" s="3"/>
      <c r="X8" s="3"/>
      <c r="Y8" s="3"/>
      <c r="Z8" s="3"/>
      <c r="AA8" s="3"/>
    </row>
    <row r="9" spans="1:27" ht="14.25" customHeight="1">
      <c r="A9" s="21" t="s">
        <v>45</v>
      </c>
      <c r="B9" s="6">
        <v>100</v>
      </c>
      <c r="C9" s="23"/>
      <c r="D9" s="3"/>
      <c r="E9" s="24"/>
      <c r="F9" s="25"/>
      <c r="G9" s="25"/>
      <c r="H9" s="26"/>
      <c r="I9" s="27"/>
      <c r="J9" s="28"/>
      <c r="K9" s="3"/>
      <c r="L9" s="3"/>
      <c r="M9" s="3"/>
      <c r="N9" s="3"/>
      <c r="O9" s="3"/>
      <c r="P9" s="3"/>
      <c r="Q9" s="3"/>
      <c r="R9" s="3"/>
      <c r="S9" s="3"/>
      <c r="T9" s="3"/>
      <c r="U9" s="3"/>
      <c r="V9" s="3"/>
      <c r="W9" s="3"/>
      <c r="X9" s="3"/>
      <c r="Y9" s="3"/>
      <c r="Z9" s="3"/>
      <c r="AA9" s="3"/>
    </row>
    <row r="10" spans="1:27" ht="14.25" customHeight="1">
      <c r="A10" s="29"/>
      <c r="B10" s="387" t="s">
        <v>46</v>
      </c>
      <c r="C10" s="402" t="s">
        <v>9</v>
      </c>
      <c r="D10" s="384"/>
      <c r="E10" s="389" t="s">
        <v>47</v>
      </c>
      <c r="F10" s="387" t="s">
        <v>48</v>
      </c>
      <c r="G10" s="392" t="s">
        <v>49</v>
      </c>
      <c r="H10" s="26"/>
      <c r="I10" s="27"/>
      <c r="J10" s="28"/>
      <c r="K10" s="3"/>
      <c r="L10" s="3"/>
      <c r="M10" s="3"/>
      <c r="N10" s="3"/>
      <c r="O10" s="3"/>
      <c r="P10" s="3"/>
      <c r="Q10" s="3"/>
      <c r="R10" s="3"/>
      <c r="S10" s="3"/>
      <c r="T10" s="3"/>
      <c r="U10" s="3"/>
      <c r="V10" s="3"/>
      <c r="W10" s="3"/>
      <c r="X10" s="3"/>
      <c r="Y10" s="3"/>
      <c r="Z10" s="3"/>
      <c r="AA10" s="3"/>
    </row>
    <row r="11" spans="1:27" ht="14.25" customHeight="1">
      <c r="A11" s="24"/>
      <c r="B11" s="388"/>
      <c r="C11" s="30" t="s">
        <v>50</v>
      </c>
      <c r="D11" s="153">
        <v>0</v>
      </c>
      <c r="E11" s="390"/>
      <c r="F11" s="388"/>
      <c r="G11" s="388"/>
      <c r="H11" s="31"/>
      <c r="I11" s="8"/>
      <c r="J11" s="28"/>
      <c r="K11" s="5"/>
      <c r="L11" s="5"/>
      <c r="M11" s="5"/>
      <c r="N11" s="5"/>
      <c r="O11" s="5"/>
      <c r="P11" s="5"/>
      <c r="Q11" s="5"/>
      <c r="R11" s="5"/>
      <c r="S11" s="5"/>
      <c r="T11" s="5"/>
      <c r="U11" s="5"/>
      <c r="V11" s="5"/>
      <c r="W11" s="5"/>
      <c r="X11" s="5"/>
      <c r="Y11" s="5"/>
      <c r="Z11" s="5"/>
      <c r="AA11" s="5"/>
    </row>
    <row r="12" spans="1:27" ht="14.25" customHeight="1">
      <c r="A12" s="24"/>
      <c r="B12" s="388"/>
      <c r="C12" s="32" t="s">
        <v>51</v>
      </c>
      <c r="D12" s="135">
        <v>0</v>
      </c>
      <c r="E12" s="390"/>
      <c r="F12" s="388"/>
      <c r="G12" s="388"/>
      <c r="H12" s="31"/>
      <c r="I12" s="8"/>
      <c r="J12" s="28"/>
      <c r="K12" s="5"/>
      <c r="L12" s="5"/>
      <c r="M12" s="5"/>
      <c r="N12" s="5"/>
      <c r="O12" s="5"/>
      <c r="P12" s="5"/>
      <c r="Q12" s="5"/>
      <c r="R12" s="5"/>
      <c r="S12" s="5"/>
      <c r="T12" s="5"/>
      <c r="U12" s="5"/>
      <c r="V12" s="5"/>
      <c r="W12" s="5"/>
      <c r="X12" s="5"/>
      <c r="Y12" s="5"/>
      <c r="Z12" s="5"/>
      <c r="AA12" s="5"/>
    </row>
    <row r="13" spans="1:27" ht="14.25" customHeight="1">
      <c r="A13" s="24"/>
      <c r="B13" s="388"/>
      <c r="C13" s="32" t="s">
        <v>52</v>
      </c>
      <c r="D13" s="248">
        <v>0</v>
      </c>
      <c r="E13" s="390"/>
      <c r="F13" s="388"/>
      <c r="G13" s="388"/>
      <c r="H13" s="31"/>
      <c r="I13" s="8"/>
      <c r="J13" s="28"/>
      <c r="K13" s="5"/>
      <c r="L13" s="5"/>
      <c r="M13" s="5"/>
      <c r="N13" s="5"/>
      <c r="O13" s="5"/>
      <c r="P13" s="5"/>
      <c r="Q13" s="5"/>
      <c r="R13" s="5"/>
      <c r="S13" s="5"/>
      <c r="T13" s="5"/>
      <c r="U13" s="5"/>
      <c r="V13" s="5"/>
      <c r="W13" s="5"/>
      <c r="X13" s="5"/>
      <c r="Y13" s="5"/>
      <c r="Z13" s="5"/>
      <c r="AA13" s="5"/>
    </row>
    <row r="14" spans="1:27" ht="14.25" customHeight="1">
      <c r="A14" s="24"/>
      <c r="B14" s="366"/>
      <c r="C14" s="33" t="s">
        <v>53</v>
      </c>
      <c r="D14" s="34">
        <f>C15-SUM(D11:D13)</f>
        <v>0.4</v>
      </c>
      <c r="E14" s="391"/>
      <c r="F14" s="366"/>
      <c r="G14" s="366"/>
      <c r="H14" s="31"/>
      <c r="I14" s="8"/>
      <c r="J14" s="28"/>
      <c r="K14" s="5"/>
      <c r="L14" s="5"/>
      <c r="M14" s="5"/>
      <c r="N14" s="5"/>
      <c r="O14" s="5"/>
      <c r="P14" s="5"/>
      <c r="Q14" s="5"/>
      <c r="R14" s="5"/>
      <c r="S14" s="5"/>
      <c r="T14" s="5"/>
      <c r="U14" s="5"/>
      <c r="V14" s="5"/>
      <c r="W14" s="5"/>
      <c r="X14" s="5"/>
      <c r="Y14" s="5"/>
      <c r="Z14" s="5"/>
      <c r="AA14" s="5"/>
    </row>
    <row r="15" spans="1:27" ht="14.25" customHeight="1">
      <c r="A15" s="35" t="s">
        <v>54</v>
      </c>
      <c r="B15" s="36">
        <f>B2</f>
        <v>0</v>
      </c>
      <c r="C15" s="393">
        <f>B3</f>
        <v>0.4</v>
      </c>
      <c r="D15" s="394"/>
      <c r="E15" s="37">
        <f>B4</f>
        <v>0.6</v>
      </c>
      <c r="F15" s="37">
        <f>B5</f>
        <v>0</v>
      </c>
      <c r="G15" s="38"/>
      <c r="H15" s="31"/>
      <c r="I15" s="8"/>
      <c r="J15" s="28"/>
      <c r="K15" s="5"/>
      <c r="L15" s="5"/>
      <c r="M15" s="5"/>
      <c r="N15" s="5"/>
      <c r="O15" s="5"/>
      <c r="P15" s="5"/>
      <c r="Q15" s="5"/>
      <c r="R15" s="5"/>
      <c r="S15" s="5"/>
      <c r="T15" s="5"/>
      <c r="U15" s="5"/>
      <c r="V15" s="5"/>
      <c r="W15" s="5"/>
      <c r="X15" s="5"/>
      <c r="Y15" s="5"/>
      <c r="Z15" s="5"/>
      <c r="AA15" s="5"/>
    </row>
    <row r="16" spans="1:27" ht="14.25" customHeight="1">
      <c r="A16" s="39" t="s">
        <v>55</v>
      </c>
      <c r="B16" s="40">
        <f t="shared" ref="B16:C16" si="0">B15*$B$8</f>
        <v>0</v>
      </c>
      <c r="C16" s="395">
        <f t="shared" si="0"/>
        <v>2800</v>
      </c>
      <c r="D16" s="396"/>
      <c r="E16" s="40">
        <f t="shared" ref="E16:F16" si="1">E15*$B$8</f>
        <v>4200</v>
      </c>
      <c r="F16" s="40">
        <f t="shared" si="1"/>
        <v>0</v>
      </c>
      <c r="G16" s="41"/>
      <c r="H16" s="42"/>
      <c r="I16" s="8"/>
      <c r="J16" s="43"/>
      <c r="K16" s="5"/>
      <c r="L16" s="5"/>
      <c r="M16" s="5"/>
      <c r="N16" s="5"/>
      <c r="O16" s="5"/>
      <c r="P16" s="5"/>
      <c r="Q16" s="5"/>
      <c r="R16" s="5"/>
      <c r="S16" s="5"/>
      <c r="T16" s="5"/>
      <c r="U16" s="5"/>
      <c r="V16" s="5"/>
      <c r="W16" s="5"/>
      <c r="X16" s="5"/>
      <c r="Y16" s="5"/>
      <c r="Z16" s="5"/>
      <c r="AA16" s="5"/>
    </row>
    <row r="17" spans="1:27" ht="14.25" customHeight="1">
      <c r="A17" s="44" t="s">
        <v>56</v>
      </c>
      <c r="B17" s="45">
        <f t="shared" ref="B17:C17" si="2">0.9*B16</f>
        <v>0</v>
      </c>
      <c r="C17" s="397">
        <f t="shared" si="2"/>
        <v>2520</v>
      </c>
      <c r="D17" s="398"/>
      <c r="E17" s="45">
        <f t="shared" ref="E17:F17" si="3">0.9*E16</f>
        <v>3780</v>
      </c>
      <c r="F17" s="45">
        <f t="shared" si="3"/>
        <v>0</v>
      </c>
      <c r="G17" s="46" t="s">
        <v>57</v>
      </c>
      <c r="H17" s="42"/>
      <c r="I17" s="8"/>
      <c r="J17" s="43"/>
      <c r="K17" s="5"/>
      <c r="L17" s="5"/>
      <c r="M17" s="5"/>
      <c r="N17" s="5"/>
      <c r="O17" s="5"/>
      <c r="P17" s="5"/>
      <c r="Q17" s="5"/>
      <c r="R17" s="5"/>
      <c r="S17" s="5"/>
      <c r="T17" s="5"/>
      <c r="U17" s="5"/>
      <c r="V17" s="5"/>
      <c r="W17" s="5"/>
      <c r="X17" s="5"/>
      <c r="Y17" s="5"/>
      <c r="Z17" s="5"/>
      <c r="AA17" s="5"/>
    </row>
    <row r="18" spans="1:27" ht="14.25" customHeight="1">
      <c r="A18" s="47" t="s">
        <v>58</v>
      </c>
      <c r="B18" s="48">
        <f t="shared" ref="B18:C18" si="4">ROUND(B17*75/70,0)</f>
        <v>0</v>
      </c>
      <c r="C18" s="399">
        <f t="shared" si="4"/>
        <v>2700</v>
      </c>
      <c r="D18" s="400"/>
      <c r="E18" s="48">
        <f t="shared" ref="E18:F18" si="5">ROUND(E17*75/70,0)</f>
        <v>4050</v>
      </c>
      <c r="F18" s="48">
        <f t="shared" si="5"/>
        <v>0</v>
      </c>
      <c r="G18" s="49" t="s">
        <v>59</v>
      </c>
      <c r="H18" s="42"/>
      <c r="I18" s="8"/>
      <c r="J18" s="43"/>
      <c r="K18" s="5"/>
      <c r="L18" s="5"/>
      <c r="M18" s="5"/>
      <c r="N18" s="5"/>
      <c r="O18" s="5"/>
      <c r="P18" s="5"/>
      <c r="Q18" s="5"/>
      <c r="R18" s="5"/>
      <c r="S18" s="5"/>
      <c r="T18" s="5"/>
      <c r="U18" s="5"/>
      <c r="V18" s="5"/>
      <c r="W18" s="5"/>
      <c r="X18" s="5"/>
      <c r="Y18" s="5"/>
      <c r="Z18" s="5"/>
      <c r="AA18" s="5"/>
    </row>
    <row r="19" spans="1:27" ht="14.25" customHeight="1">
      <c r="A19" s="50" t="s">
        <v>60</v>
      </c>
      <c r="B19" s="51">
        <v>250</v>
      </c>
      <c r="C19" s="401" t="str">
        <f>IF($C$15=0,0,ROUND((350*D11+275*SUM(D12:D14))/C15,0))&amp;" € (350 € BRS et 275 € autres produits)"</f>
        <v>275 € (350 € BRS et 275 € autres produits)</v>
      </c>
      <c r="D19" s="364"/>
      <c r="E19" s="51">
        <v>450</v>
      </c>
      <c r="F19" s="51">
        <v>450</v>
      </c>
      <c r="G19" s="52"/>
      <c r="H19" s="42"/>
      <c r="I19" s="8"/>
      <c r="J19" s="43"/>
      <c r="K19" s="5"/>
      <c r="L19" s="5"/>
      <c r="M19" s="5"/>
      <c r="N19" s="5"/>
      <c r="O19" s="5"/>
      <c r="P19" s="5"/>
      <c r="Q19" s="5"/>
      <c r="R19" s="5"/>
      <c r="S19" s="5"/>
      <c r="T19" s="5"/>
      <c r="U19" s="5"/>
      <c r="V19" s="5"/>
      <c r="W19" s="5"/>
      <c r="X19" s="5"/>
      <c r="Y19" s="5"/>
      <c r="Z19" s="5"/>
      <c r="AA19" s="5"/>
    </row>
    <row r="20" spans="1:27" ht="14.25" customHeight="1">
      <c r="A20" s="50" t="s">
        <v>61</v>
      </c>
      <c r="B20" s="53">
        <f t="shared" ref="B20:C20" si="6">B15*$B$9</f>
        <v>0</v>
      </c>
      <c r="C20" s="363">
        <f t="shared" si="6"/>
        <v>40</v>
      </c>
      <c r="D20" s="364"/>
      <c r="E20" s="53">
        <f t="shared" ref="E20:F20" si="7">E15*$B$9</f>
        <v>60</v>
      </c>
      <c r="F20" s="53">
        <f t="shared" si="7"/>
        <v>0</v>
      </c>
      <c r="G20" s="52"/>
      <c r="H20" s="31"/>
      <c r="I20" s="54"/>
      <c r="J20" s="55"/>
      <c r="K20" s="5"/>
      <c r="L20" s="5"/>
      <c r="M20" s="5"/>
      <c r="N20" s="5"/>
      <c r="O20" s="5"/>
      <c r="P20" s="5"/>
      <c r="Q20" s="5"/>
      <c r="R20" s="5"/>
      <c r="S20" s="5"/>
      <c r="T20" s="5"/>
      <c r="U20" s="5"/>
      <c r="V20" s="5"/>
      <c r="W20" s="5"/>
      <c r="X20" s="5"/>
      <c r="Y20" s="5"/>
      <c r="Z20" s="5"/>
      <c r="AA20" s="5"/>
    </row>
    <row r="21" spans="1:27" ht="14.25" customHeight="1">
      <c r="A21" s="50" t="s">
        <v>62</v>
      </c>
      <c r="B21" s="53">
        <f>ROUND(B20*0.5,0)</f>
        <v>0</v>
      </c>
      <c r="C21" s="363">
        <f>ROUND(C20*0.7,0)</f>
        <v>28</v>
      </c>
      <c r="D21" s="364"/>
      <c r="E21" s="53">
        <f t="shared" ref="E21:F21" si="8">ROUND(E20*0.7,0)</f>
        <v>42</v>
      </c>
      <c r="F21" s="53">
        <f t="shared" si="8"/>
        <v>0</v>
      </c>
      <c r="G21" s="52" t="s">
        <v>146</v>
      </c>
      <c r="H21" s="31"/>
      <c r="I21" s="54"/>
      <c r="J21" s="55"/>
      <c r="K21" s="5"/>
      <c r="L21" s="5"/>
      <c r="M21" s="5"/>
      <c r="N21" s="5"/>
      <c r="O21" s="5"/>
      <c r="P21" s="5"/>
      <c r="Q21" s="5"/>
      <c r="R21" s="5"/>
      <c r="S21" s="5"/>
      <c r="T21" s="5"/>
      <c r="U21" s="5"/>
      <c r="V21" s="5"/>
      <c r="W21" s="5"/>
      <c r="X21" s="5"/>
      <c r="Y21" s="5"/>
      <c r="Z21" s="5"/>
      <c r="AA21" s="5"/>
    </row>
    <row r="22" spans="1:27" ht="14.25" customHeight="1">
      <c r="A22" s="365" t="s">
        <v>63</v>
      </c>
      <c r="B22" s="247">
        <v>2250</v>
      </c>
      <c r="C22" s="403" t="s">
        <v>64</v>
      </c>
      <c r="D22" s="368"/>
      <c r="E22" s="140">
        <v>4598</v>
      </c>
      <c r="F22" s="136"/>
      <c r="G22" s="56"/>
      <c r="H22" s="31"/>
      <c r="I22" s="54"/>
      <c r="J22" s="55"/>
      <c r="K22" s="5"/>
      <c r="L22" s="5"/>
      <c r="M22" s="5"/>
      <c r="N22" s="5"/>
      <c r="O22" s="5"/>
      <c r="P22" s="5"/>
      <c r="Q22" s="5"/>
      <c r="R22" s="5"/>
      <c r="S22" s="5"/>
      <c r="T22" s="5"/>
      <c r="U22" s="5"/>
      <c r="V22" s="5"/>
      <c r="W22" s="5"/>
      <c r="X22" s="5"/>
      <c r="Y22" s="5"/>
      <c r="Z22" s="5"/>
      <c r="AA22" s="5"/>
    </row>
    <row r="23" spans="1:27" ht="60">
      <c r="A23" s="366"/>
      <c r="B23" s="57" t="s">
        <v>65</v>
      </c>
      <c r="C23" s="369"/>
      <c r="D23" s="370"/>
      <c r="E23" s="57" t="s">
        <v>66</v>
      </c>
      <c r="F23" s="57"/>
      <c r="G23" s="58"/>
      <c r="H23" s="5"/>
      <c r="I23" s="5"/>
      <c r="J23" s="5"/>
      <c r="K23" s="5"/>
      <c r="L23" s="5"/>
      <c r="M23" s="5"/>
      <c r="N23" s="5"/>
      <c r="O23" s="5"/>
      <c r="P23" s="5"/>
      <c r="Q23" s="5"/>
      <c r="R23" s="5"/>
      <c r="S23" s="5"/>
      <c r="T23" s="5"/>
      <c r="U23" s="5"/>
      <c r="V23" s="5"/>
      <c r="W23" s="5"/>
      <c r="X23" s="5"/>
      <c r="Y23" s="5"/>
      <c r="Z23" s="5"/>
      <c r="AA23" s="5"/>
    </row>
    <row r="24" spans="1:27" ht="14.25" customHeight="1">
      <c r="A24" s="5"/>
      <c r="B24" s="5"/>
      <c r="C24" s="5"/>
      <c r="D24" s="5"/>
      <c r="E24" s="5"/>
      <c r="F24" s="142"/>
      <c r="G24" s="142"/>
    </row>
    <row r="25" spans="1:27" ht="21">
      <c r="A25" s="343" t="s">
        <v>67</v>
      </c>
      <c r="B25" s="343"/>
      <c r="C25" s="343"/>
      <c r="D25" s="343"/>
      <c r="E25" s="343"/>
      <c r="F25" s="343"/>
      <c r="G25" s="343"/>
      <c r="H25" s="152"/>
      <c r="I25" s="152"/>
      <c r="J25" s="152"/>
      <c r="K25" s="152"/>
      <c r="L25" s="152"/>
      <c r="M25" s="152"/>
      <c r="N25" s="152"/>
      <c r="O25" s="152"/>
      <c r="P25" s="152"/>
      <c r="Q25" s="152"/>
      <c r="R25" s="152"/>
      <c r="S25" s="152"/>
      <c r="T25" s="152"/>
      <c r="U25" s="152"/>
      <c r="V25" s="152"/>
      <c r="W25" s="152"/>
      <c r="X25" s="152"/>
      <c r="Y25" s="152"/>
      <c r="Z25" s="152"/>
    </row>
    <row r="26" spans="1:27" ht="33.75" customHeight="1">
      <c r="A26" s="59" t="s">
        <v>68</v>
      </c>
      <c r="B26" s="60" t="s">
        <v>69</v>
      </c>
      <c r="C26" s="61" t="s">
        <v>70</v>
      </c>
      <c r="D26" s="61" t="s">
        <v>71</v>
      </c>
      <c r="E26" s="371" t="s">
        <v>72</v>
      </c>
      <c r="F26" s="372"/>
      <c r="G26" s="320"/>
    </row>
    <row r="27" spans="1:27" ht="30.6">
      <c r="A27" s="62" t="s">
        <v>73</v>
      </c>
      <c r="B27" s="198" t="s">
        <v>193</v>
      </c>
      <c r="C27" s="64"/>
      <c r="D27" s="194" t="s">
        <v>74</v>
      </c>
      <c r="E27" s="373"/>
      <c r="F27" s="374"/>
      <c r="G27" s="375"/>
    </row>
    <row r="28" spans="1:27">
      <c r="A28" s="65" t="s">
        <v>75</v>
      </c>
      <c r="B28" s="66"/>
      <c r="C28" s="67"/>
      <c r="D28" s="65"/>
      <c r="E28" s="68"/>
      <c r="F28" s="68"/>
      <c r="G28" s="68"/>
    </row>
    <row r="29" spans="1:27" ht="28.8">
      <c r="A29" s="69" t="s">
        <v>76</v>
      </c>
      <c r="B29" s="70" t="s">
        <v>77</v>
      </c>
      <c r="C29" s="71"/>
      <c r="D29" s="194" t="s">
        <v>74</v>
      </c>
      <c r="E29" s="334"/>
      <c r="F29" s="335"/>
      <c r="G29" s="336"/>
    </row>
    <row r="30" spans="1:27" ht="24">
      <c r="A30" s="72" t="s">
        <v>78</v>
      </c>
      <c r="B30" s="73" t="s">
        <v>79</v>
      </c>
      <c r="C30" s="200" t="s">
        <v>197</v>
      </c>
      <c r="D30" s="194" t="s">
        <v>74</v>
      </c>
      <c r="E30" s="337"/>
      <c r="F30" s="338"/>
      <c r="G30" s="339"/>
    </row>
    <row r="31" spans="1:27" ht="24">
      <c r="A31" s="72" t="s">
        <v>80</v>
      </c>
      <c r="B31" s="73" t="s">
        <v>79</v>
      </c>
      <c r="C31" s="200" t="s">
        <v>198</v>
      </c>
      <c r="D31" s="194" t="s">
        <v>74</v>
      </c>
      <c r="E31" s="337"/>
      <c r="F31" s="338"/>
      <c r="G31" s="339"/>
    </row>
    <row r="32" spans="1:27" ht="28.8">
      <c r="A32" s="74" t="s">
        <v>81</v>
      </c>
      <c r="B32" s="75" t="s">
        <v>82</v>
      </c>
      <c r="C32" s="201" t="s">
        <v>199</v>
      </c>
      <c r="D32" s="194" t="s">
        <v>74</v>
      </c>
      <c r="E32" s="357"/>
      <c r="F32" s="358"/>
      <c r="G32" s="359"/>
    </row>
    <row r="33" spans="1:27">
      <c r="A33" s="76" t="s">
        <v>83</v>
      </c>
      <c r="B33" s="77"/>
      <c r="C33" s="78"/>
      <c r="D33" s="79"/>
      <c r="E33" s="80"/>
      <c r="F33" s="80"/>
      <c r="G33" s="80"/>
    </row>
    <row r="34" spans="1:27" ht="36">
      <c r="A34" s="196" t="s">
        <v>191</v>
      </c>
      <c r="B34" s="81" t="s">
        <v>84</v>
      </c>
      <c r="C34" s="82" t="s">
        <v>85</v>
      </c>
      <c r="D34" s="194" t="s">
        <v>74</v>
      </c>
      <c r="E34" s="360"/>
      <c r="F34" s="361"/>
      <c r="G34" s="362"/>
    </row>
    <row r="35" spans="1:27" ht="28.8">
      <c r="A35" s="72" t="s">
        <v>86</v>
      </c>
      <c r="B35" s="83" t="s">
        <v>87</v>
      </c>
      <c r="C35" s="84" t="s">
        <v>88</v>
      </c>
      <c r="D35" s="194" t="s">
        <v>74</v>
      </c>
      <c r="E35" s="337"/>
      <c r="F35" s="338"/>
      <c r="G35" s="339"/>
    </row>
    <row r="36" spans="1:27" ht="28.8">
      <c r="A36" s="74" t="s">
        <v>89</v>
      </c>
      <c r="B36" s="63" t="s">
        <v>90</v>
      </c>
      <c r="C36" s="64"/>
      <c r="D36" s="194" t="s">
        <v>74</v>
      </c>
      <c r="E36" s="337"/>
      <c r="F36" s="338"/>
      <c r="G36" s="339"/>
    </row>
    <row r="37" spans="1:27">
      <c r="A37" s="85" t="s">
        <v>91</v>
      </c>
      <c r="B37" s="86"/>
      <c r="C37" s="87"/>
      <c r="D37" s="85"/>
      <c r="E37" s="88"/>
      <c r="F37" s="88"/>
      <c r="G37" s="88"/>
    </row>
    <row r="38" spans="1:27" ht="23.4">
      <c r="A38" s="346" t="s">
        <v>92</v>
      </c>
      <c r="B38" s="347" t="s">
        <v>93</v>
      </c>
      <c r="C38" s="199" t="s">
        <v>194</v>
      </c>
      <c r="D38" s="194" t="s">
        <v>74</v>
      </c>
      <c r="E38" s="334"/>
      <c r="F38" s="335"/>
      <c r="G38" s="336"/>
    </row>
    <row r="39" spans="1:27" ht="23.4">
      <c r="A39" s="317"/>
      <c r="B39" s="317"/>
      <c r="C39" s="197" t="s">
        <v>195</v>
      </c>
      <c r="D39" s="194" t="s">
        <v>74</v>
      </c>
      <c r="E39" s="337"/>
      <c r="F39" s="338"/>
      <c r="G39" s="339"/>
    </row>
    <row r="40" spans="1:27" ht="23.4">
      <c r="A40" s="315" t="s">
        <v>94</v>
      </c>
      <c r="B40" s="318" t="s">
        <v>95</v>
      </c>
      <c r="C40" s="84" t="s">
        <v>96</v>
      </c>
      <c r="D40" s="194" t="s">
        <v>74</v>
      </c>
      <c r="E40" s="337"/>
      <c r="F40" s="338"/>
      <c r="G40" s="339"/>
    </row>
    <row r="41" spans="1:27" ht="23.4">
      <c r="A41" s="316"/>
      <c r="B41" s="316"/>
      <c r="C41" s="84" t="s">
        <v>97</v>
      </c>
      <c r="D41" s="194" t="s">
        <v>74</v>
      </c>
      <c r="E41" s="337"/>
      <c r="F41" s="338"/>
      <c r="G41" s="339"/>
    </row>
    <row r="42" spans="1:27" ht="23.4">
      <c r="A42" s="317"/>
      <c r="B42" s="317"/>
      <c r="C42" s="197" t="s">
        <v>192</v>
      </c>
      <c r="D42" s="194" t="s">
        <v>74</v>
      </c>
      <c r="E42" s="337"/>
      <c r="F42" s="338"/>
      <c r="G42" s="339"/>
    </row>
    <row r="43" spans="1:27" ht="23.4">
      <c r="A43" s="315" t="s">
        <v>98</v>
      </c>
      <c r="B43" s="195" t="s">
        <v>190</v>
      </c>
      <c r="C43" s="84" t="s">
        <v>99</v>
      </c>
      <c r="D43" s="194" t="s">
        <v>74</v>
      </c>
      <c r="E43" s="337"/>
      <c r="F43" s="338"/>
      <c r="G43" s="339"/>
    </row>
    <row r="44" spans="1:27" ht="24">
      <c r="A44" s="317"/>
      <c r="B44" s="73" t="s">
        <v>100</v>
      </c>
      <c r="C44" s="89" t="s">
        <v>101</v>
      </c>
      <c r="D44" s="194" t="s">
        <v>74</v>
      </c>
      <c r="E44" s="337"/>
      <c r="F44" s="338"/>
      <c r="G44" s="339"/>
    </row>
    <row r="45" spans="1:27" ht="14.25" customHeight="1">
      <c r="A45" s="90"/>
      <c r="B45" s="344" t="s">
        <v>196</v>
      </c>
      <c r="C45" s="345"/>
      <c r="D45" s="345"/>
      <c r="E45" s="345"/>
      <c r="F45" s="345"/>
      <c r="G45" s="345"/>
      <c r="H45" s="2"/>
      <c r="I45" s="2"/>
      <c r="J45" s="2"/>
      <c r="K45" s="2"/>
      <c r="L45" s="2"/>
      <c r="M45" s="2"/>
      <c r="N45" s="2"/>
      <c r="O45" s="2"/>
      <c r="P45" s="2"/>
      <c r="Q45" s="2"/>
      <c r="R45" s="2"/>
      <c r="S45" s="2"/>
      <c r="T45" s="2"/>
      <c r="U45" s="2"/>
      <c r="V45" s="2"/>
      <c r="W45" s="2"/>
      <c r="X45" s="2"/>
      <c r="Y45" s="2"/>
      <c r="Z45" s="2"/>
      <c r="AA45" s="2"/>
    </row>
    <row r="46" spans="1:27" ht="14.25" customHeight="1">
      <c r="A46" s="94"/>
      <c r="B46" s="93"/>
      <c r="C46" s="91"/>
      <c r="D46" s="92"/>
      <c r="E46" s="91"/>
      <c r="F46" s="91"/>
      <c r="G46" s="91"/>
    </row>
    <row r="47" spans="1:27" ht="21">
      <c r="A47" s="343" t="s">
        <v>102</v>
      </c>
      <c r="B47" s="343"/>
      <c r="C47" s="343"/>
      <c r="D47" s="343"/>
      <c r="E47" s="343"/>
      <c r="F47" s="343"/>
      <c r="G47" s="343"/>
      <c r="H47" s="152"/>
      <c r="I47" s="152"/>
      <c r="J47" s="152"/>
      <c r="K47" s="152"/>
      <c r="L47" s="152"/>
      <c r="M47" s="152"/>
      <c r="N47" s="152"/>
      <c r="O47" s="152"/>
      <c r="P47" s="152"/>
      <c r="Q47" s="152"/>
      <c r="R47" s="152"/>
      <c r="S47" s="152"/>
      <c r="T47" s="152"/>
      <c r="U47" s="152"/>
      <c r="V47" s="152"/>
      <c r="W47" s="152"/>
      <c r="X47" s="152"/>
      <c r="Y47" s="152"/>
      <c r="Z47" s="152"/>
    </row>
    <row r="48" spans="1:27" ht="14.25" customHeight="1">
      <c r="A48" s="3" t="s">
        <v>103</v>
      </c>
      <c r="B48" s="3"/>
      <c r="C48" s="95" t="s">
        <v>104</v>
      </c>
      <c r="D48" s="95" t="s">
        <v>105</v>
      </c>
      <c r="E48" s="95" t="s">
        <v>106</v>
      </c>
      <c r="F48" s="95" t="s">
        <v>107</v>
      </c>
      <c r="G48" s="3" t="s">
        <v>49</v>
      </c>
    </row>
    <row r="49" spans="1:27" ht="14.25" customHeight="1">
      <c r="A49" s="150" t="s">
        <v>108</v>
      </c>
      <c r="B49" s="96"/>
      <c r="C49" s="96"/>
      <c r="D49" s="96"/>
      <c r="E49" s="97">
        <f t="shared" ref="E49:F49" si="9">E50+E56</f>
        <v>2660000</v>
      </c>
      <c r="F49" s="97">
        <f t="shared" si="9"/>
        <v>3192000</v>
      </c>
      <c r="G49" s="128">
        <f>F49/$F$77</f>
        <v>0.12527256201227294</v>
      </c>
      <c r="H49" s="1"/>
      <c r="I49" s="1"/>
      <c r="J49" s="1"/>
      <c r="K49" s="1"/>
      <c r="L49" s="1"/>
      <c r="M49" s="1"/>
      <c r="N49" s="1"/>
      <c r="O49" s="1"/>
      <c r="P49" s="1"/>
      <c r="Q49" s="1"/>
      <c r="R49" s="1"/>
      <c r="S49" s="1"/>
      <c r="T49" s="1"/>
      <c r="U49" s="1"/>
      <c r="V49" s="1"/>
      <c r="W49" s="1"/>
      <c r="X49" s="1"/>
      <c r="Y49" s="1"/>
      <c r="Z49" s="1"/>
      <c r="AA49" s="1"/>
    </row>
    <row r="50" spans="1:27" ht="14.25" customHeight="1">
      <c r="A50" s="312" t="s">
        <v>109</v>
      </c>
      <c r="B50" s="312"/>
      <c r="C50" s="99"/>
      <c r="D50" s="4"/>
      <c r="E50" s="100">
        <f t="shared" ref="E50:F50" si="10">SUM(E51:E55)</f>
        <v>2660000</v>
      </c>
      <c r="F50" s="100">
        <f t="shared" si="10"/>
        <v>3192000</v>
      </c>
      <c r="G50" s="101"/>
      <c r="H50" s="102"/>
      <c r="I50" s="102"/>
      <c r="J50" s="102"/>
      <c r="K50" s="102"/>
      <c r="L50" s="102"/>
      <c r="M50" s="102"/>
      <c r="N50" s="102"/>
      <c r="O50" s="102"/>
      <c r="P50" s="102"/>
      <c r="Q50" s="102"/>
      <c r="R50" s="102"/>
      <c r="S50" s="102"/>
      <c r="T50" s="102"/>
      <c r="U50" s="102"/>
      <c r="V50" s="102"/>
      <c r="W50" s="102"/>
      <c r="X50" s="102"/>
      <c r="Y50" s="102"/>
      <c r="Z50" s="102"/>
      <c r="AA50" s="102"/>
    </row>
    <row r="51" spans="1:27" ht="14.25" customHeight="1">
      <c r="A51" s="324" t="s">
        <v>110</v>
      </c>
      <c r="B51" s="324"/>
      <c r="C51" s="202">
        <f>B19</f>
        <v>250</v>
      </c>
      <c r="D51" s="203">
        <f>B15*$B$8</f>
        <v>0</v>
      </c>
      <c r="E51" s="204">
        <f t="shared" ref="E51:E56" si="11">C51*D51</f>
        <v>0</v>
      </c>
      <c r="F51" s="204">
        <f t="shared" ref="F51:F52" si="12">E51*1.055</f>
        <v>0</v>
      </c>
      <c r="G51" s="205" t="s">
        <v>111</v>
      </c>
      <c r="H51" s="103"/>
      <c r="I51" s="103"/>
      <c r="J51" s="103"/>
      <c r="K51" s="103"/>
      <c r="L51" s="103"/>
      <c r="M51" s="103"/>
      <c r="N51" s="103"/>
      <c r="O51" s="103"/>
      <c r="P51" s="103"/>
      <c r="Q51" s="103"/>
      <c r="R51" s="103"/>
      <c r="S51" s="103"/>
      <c r="T51" s="103"/>
      <c r="U51" s="103"/>
      <c r="V51" s="103"/>
      <c r="W51" s="103"/>
      <c r="X51" s="103"/>
      <c r="Y51" s="103"/>
      <c r="Z51" s="103"/>
      <c r="AA51" s="103"/>
    </row>
    <row r="52" spans="1:27" ht="14.25" customHeight="1">
      <c r="A52" s="324" t="s">
        <v>50</v>
      </c>
      <c r="B52" s="325"/>
      <c r="C52" s="202">
        <v>350</v>
      </c>
      <c r="D52" s="203">
        <f>D11*$B$8</f>
        <v>0</v>
      </c>
      <c r="E52" s="206">
        <f t="shared" si="11"/>
        <v>0</v>
      </c>
      <c r="F52" s="206">
        <f t="shared" si="12"/>
        <v>0</v>
      </c>
      <c r="G52" s="205" t="s">
        <v>111</v>
      </c>
      <c r="H52" s="14"/>
      <c r="I52" s="14"/>
      <c r="J52" s="14"/>
      <c r="K52" s="14"/>
      <c r="L52" s="14"/>
      <c r="M52" s="14"/>
      <c r="N52" s="14"/>
      <c r="O52" s="14"/>
      <c r="P52" s="14"/>
      <c r="Q52" s="14"/>
      <c r="R52" s="14"/>
      <c r="S52" s="14"/>
      <c r="T52" s="14"/>
      <c r="U52" s="14"/>
      <c r="V52" s="14"/>
      <c r="W52" s="14"/>
      <c r="X52" s="14"/>
      <c r="Y52" s="14"/>
      <c r="Z52" s="14"/>
      <c r="AA52" s="14"/>
    </row>
    <row r="53" spans="1:27" ht="14.25" customHeight="1">
      <c r="A53" s="324" t="s">
        <v>112</v>
      </c>
      <c r="B53" s="325"/>
      <c r="C53" s="202">
        <v>275</v>
      </c>
      <c r="D53" s="203">
        <f>SUM(D12:D14)*B8</f>
        <v>2800</v>
      </c>
      <c r="E53" s="204">
        <f t="shared" si="11"/>
        <v>770000</v>
      </c>
      <c r="F53" s="204">
        <f>IF(SUM($D$12:$D$14)=0,0,E53*(1.055*SUM($D$12:$D$13)+1.2*$D$14)/SUM($D$12:$D$14))</f>
        <v>924000</v>
      </c>
      <c r="G53" s="205" t="str">
        <f>"TVA moyenne de "&amp;IF(E53=0,0,ROUND((F53/E53-1)*100,2))&amp;" % (prorata SDP)"</f>
        <v>TVA moyenne de 20 % (prorata SDP)</v>
      </c>
      <c r="H53" s="103"/>
      <c r="I53" s="103"/>
      <c r="J53" s="103"/>
      <c r="K53" s="103"/>
      <c r="L53" s="103"/>
      <c r="M53" s="103"/>
      <c r="N53" s="103"/>
      <c r="O53" s="103"/>
      <c r="P53" s="103"/>
      <c r="Q53" s="103"/>
      <c r="R53" s="103"/>
      <c r="S53" s="103"/>
      <c r="T53" s="103"/>
      <c r="U53" s="103"/>
      <c r="V53" s="103"/>
      <c r="W53" s="103"/>
      <c r="X53" s="103"/>
      <c r="Y53" s="103"/>
      <c r="Z53" s="103"/>
      <c r="AA53" s="103"/>
    </row>
    <row r="54" spans="1:27" ht="14.25" customHeight="1">
      <c r="A54" s="324" t="s">
        <v>8</v>
      </c>
      <c r="B54" s="325"/>
      <c r="C54" s="202">
        <f>E19</f>
        <v>450</v>
      </c>
      <c r="D54" s="203">
        <f>(E15+F15)*$B$8</f>
        <v>4200</v>
      </c>
      <c r="E54" s="206">
        <f t="shared" si="11"/>
        <v>1890000</v>
      </c>
      <c r="F54" s="206">
        <f>E54*1.2</f>
        <v>2268000</v>
      </c>
      <c r="G54" s="205" t="s">
        <v>113</v>
      </c>
      <c r="H54" s="14"/>
      <c r="I54" s="14"/>
      <c r="J54" s="14"/>
      <c r="K54" s="14"/>
      <c r="L54" s="14"/>
      <c r="M54" s="14"/>
      <c r="N54" s="14"/>
      <c r="O54" s="14"/>
      <c r="P54" s="14"/>
      <c r="Q54" s="14"/>
      <c r="R54" s="14"/>
      <c r="S54" s="14"/>
      <c r="T54" s="14"/>
      <c r="U54" s="14"/>
      <c r="V54" s="14"/>
      <c r="W54" s="14"/>
      <c r="X54" s="14"/>
      <c r="Y54" s="14"/>
      <c r="Z54" s="14"/>
      <c r="AA54" s="14"/>
    </row>
    <row r="55" spans="1:27" ht="14.25" customHeight="1">
      <c r="A55" s="326" t="s">
        <v>15</v>
      </c>
      <c r="B55" s="327"/>
      <c r="C55" s="207">
        <v>1600</v>
      </c>
      <c r="D55" s="208">
        <f>D60</f>
        <v>0</v>
      </c>
      <c r="E55" s="209">
        <f t="shared" si="11"/>
        <v>0</v>
      </c>
      <c r="F55" s="210">
        <f>IF($C$15=0,E55*(1.2*($E$21+$F$21)+1.055*$B$21)/($B$21+$E$21+$F$21),E55*(1.2*($E$21+$F$21+$C$21*$D$14/$C$15)+1.055*($B$21+$C$21*SUM($D$11:$D$13)/$C$15))/($B$21+$C$21+$E$21+$F$21))</f>
        <v>0</v>
      </c>
      <c r="G55" s="211" t="str">
        <f>"TVA moyenne de "&amp;IF(E55=0,"",ROUND((F55/E55-1)*100,2))&amp;" % (prorata nb places)"</f>
        <v>TVA moyenne de  % (prorata nb places)</v>
      </c>
      <c r="H55" s="103"/>
      <c r="I55" s="103"/>
      <c r="J55" s="103"/>
      <c r="K55" s="103"/>
      <c r="L55" s="103"/>
      <c r="M55" s="103"/>
      <c r="N55" s="103"/>
      <c r="O55" s="103"/>
      <c r="P55" s="103"/>
      <c r="Q55" s="103"/>
      <c r="R55" s="103"/>
      <c r="S55" s="103"/>
      <c r="T55" s="103"/>
      <c r="U55" s="103"/>
      <c r="V55" s="103"/>
      <c r="W55" s="103"/>
      <c r="X55" s="103"/>
      <c r="Y55" s="103"/>
      <c r="Z55" s="103"/>
      <c r="AA55" s="103"/>
    </row>
    <row r="56" spans="1:27" ht="14.25" customHeight="1">
      <c r="A56" s="328" t="s">
        <v>114</v>
      </c>
      <c r="B56" s="329"/>
      <c r="C56" s="137"/>
      <c r="D56" s="104">
        <f>SUM(B21:E21)-D60</f>
        <v>70</v>
      </c>
      <c r="E56" s="105">
        <f t="shared" si="11"/>
        <v>0</v>
      </c>
      <c r="F56" s="105">
        <f>E56*1.2</f>
        <v>0</v>
      </c>
      <c r="G56" s="7"/>
    </row>
    <row r="57" spans="1:27" ht="14.25" customHeight="1">
      <c r="A57" s="96" t="s">
        <v>115</v>
      </c>
      <c r="B57" s="96"/>
      <c r="C57" s="127"/>
      <c r="D57" s="127"/>
      <c r="E57" s="97">
        <f t="shared" ref="E57:F57" si="13">E59+E60+E58</f>
        <v>0</v>
      </c>
      <c r="F57" s="97">
        <f t="shared" si="13"/>
        <v>0</v>
      </c>
      <c r="G57" s="128">
        <f>F57/$F$77</f>
        <v>0</v>
      </c>
      <c r="H57" s="1"/>
      <c r="I57" s="1"/>
      <c r="J57" s="1"/>
      <c r="K57" s="1"/>
      <c r="L57" s="1"/>
      <c r="M57" s="1"/>
      <c r="N57" s="1"/>
      <c r="O57" s="1"/>
      <c r="P57" s="1"/>
      <c r="Q57" s="1"/>
      <c r="R57" s="1"/>
      <c r="S57" s="1"/>
      <c r="T57" s="1"/>
      <c r="U57" s="1"/>
      <c r="V57" s="1"/>
      <c r="W57" s="1"/>
      <c r="X57" s="1"/>
      <c r="Y57" s="1"/>
      <c r="Z57" s="1"/>
      <c r="AA57" s="1"/>
    </row>
    <row r="58" spans="1:27" ht="14.25" customHeight="1">
      <c r="A58" s="330" t="s">
        <v>116</v>
      </c>
      <c r="B58" s="330"/>
      <c r="C58" s="138">
        <v>0</v>
      </c>
      <c r="D58" s="108">
        <f>SUM(B17:E17)</f>
        <v>6300</v>
      </c>
      <c r="E58" s="109">
        <f>D58*C58</f>
        <v>0</v>
      </c>
      <c r="F58" s="109">
        <f t="shared" ref="F58:F60" si="14">IF($C$15=0,E58*(1.2*($E$16+$F$16)+1.055*$B$16)/$B$8,E58*(1.2*($E$16+$F$16+$C$16*$D$14/$C$15)+1.055*($B$16+$C$16*SUM($D$11:$D$13)/$C$15))/$B$8)</f>
        <v>0</v>
      </c>
      <c r="G58" s="244" t="str">
        <f>"TVA moyenne de "&amp;IF(E58=0,"",ROUND((F58/E58-1)*100,2))&amp;" % (prorata SDP)"</f>
        <v>TVA moyenne de  % (prorata SDP)</v>
      </c>
      <c r="H58" s="107"/>
      <c r="I58" s="107"/>
      <c r="J58" s="107"/>
      <c r="K58" s="107"/>
      <c r="L58" s="107"/>
      <c r="M58" s="107"/>
      <c r="N58" s="107"/>
      <c r="O58" s="107"/>
      <c r="P58" s="107"/>
      <c r="Q58" s="107"/>
      <c r="R58" s="107"/>
      <c r="S58" s="107"/>
      <c r="T58" s="107"/>
      <c r="U58" s="107"/>
      <c r="V58" s="107"/>
      <c r="W58" s="107"/>
      <c r="X58" s="107"/>
      <c r="Y58" s="107"/>
      <c r="Z58" s="107"/>
      <c r="AA58" s="107"/>
    </row>
    <row r="59" spans="1:27" ht="14.25" customHeight="1">
      <c r="A59" s="308" t="s">
        <v>117</v>
      </c>
      <c r="B59" s="309"/>
      <c r="C59" s="214">
        <v>0</v>
      </c>
      <c r="D59" s="215">
        <f>SUM(B17:E17)</f>
        <v>6300</v>
      </c>
      <c r="E59" s="216">
        <f>C59*D59</f>
        <v>0</v>
      </c>
      <c r="F59" s="216">
        <f t="shared" si="14"/>
        <v>0</v>
      </c>
      <c r="G59" s="223" t="str">
        <f>"TVA moyenne de "&amp;IF(E59=0,"",ROUND(100*(F59/E59-1),2))&amp;"% (prorata SdP)"</f>
        <v>TVA moyenne de % (prorata SdP)</v>
      </c>
    </row>
    <row r="60" spans="1:27" ht="14.25" customHeight="1">
      <c r="A60" s="330" t="s">
        <v>118</v>
      </c>
      <c r="B60" s="348"/>
      <c r="C60" s="212">
        <v>0</v>
      </c>
      <c r="D60" s="213">
        <v>0</v>
      </c>
      <c r="E60" s="109">
        <f>C60*D60</f>
        <v>0</v>
      </c>
      <c r="F60" s="110">
        <f t="shared" si="14"/>
        <v>0</v>
      </c>
      <c r="G60" s="245" t="str">
        <f>"TVA moyenne de "&amp;IF(E60=0,"",ROUND((F60/E60-1)*100,2))&amp;" % (prorata nb places)"</f>
        <v>TVA moyenne de  % (prorata nb places)</v>
      </c>
    </row>
    <row r="61" spans="1:27" ht="14.25" customHeight="1">
      <c r="A61" s="96" t="s">
        <v>119</v>
      </c>
      <c r="B61" s="96"/>
      <c r="C61" s="127"/>
      <c r="D61" s="106"/>
      <c r="E61" s="97">
        <f t="shared" ref="E61:F61" si="15">SUM(E62:E66)</f>
        <v>0</v>
      </c>
      <c r="F61" s="97">
        <f t="shared" si="15"/>
        <v>0</v>
      </c>
      <c r="G61" s="128">
        <f>F61/$F$77</f>
        <v>0</v>
      </c>
      <c r="H61" s="1"/>
      <c r="I61" s="1"/>
      <c r="J61" s="1"/>
      <c r="K61" s="1"/>
      <c r="L61" s="1"/>
      <c r="M61" s="1"/>
      <c r="N61" s="1"/>
      <c r="O61" s="1"/>
      <c r="P61" s="1"/>
      <c r="Q61" s="1"/>
      <c r="R61" s="1"/>
      <c r="S61" s="1"/>
      <c r="T61" s="1"/>
      <c r="U61" s="1"/>
      <c r="V61" s="1"/>
      <c r="W61" s="1"/>
      <c r="X61" s="1"/>
      <c r="Y61" s="1"/>
      <c r="Z61" s="1"/>
      <c r="AA61" s="1"/>
    </row>
    <row r="62" spans="1:27" ht="14.25" customHeight="1">
      <c r="A62" s="349" t="s">
        <v>120</v>
      </c>
      <c r="B62" s="350"/>
      <c r="C62" s="217">
        <v>0</v>
      </c>
      <c r="D62" s="218" t="s">
        <v>121</v>
      </c>
      <c r="E62" s="219">
        <f>C62*$E$77</f>
        <v>0</v>
      </c>
      <c r="F62" s="219">
        <f t="shared" ref="F62:F66" si="16">IF($C$15=0,E62*(1.2*($E$16+$F$16)+1.055*$B$16)/$B$8,E62*(1.2*($E$16+$F$16+$C$16*$D$14/$C$15)+1.055*($B$16+$C$16*SUM($D$11:$D$13)/$C$15))/$B$8)</f>
        <v>0</v>
      </c>
      <c r="G62" s="220" t="str">
        <f>"TVA moyenne de "&amp;IF(E62=0,"",ROUND(100*(F62/E62-1),2))&amp;"% (prorata SdP)"</f>
        <v>TVA moyenne de % (prorata SdP)</v>
      </c>
      <c r="H62" s="102"/>
      <c r="I62" s="102"/>
      <c r="J62" s="102"/>
      <c r="K62" s="102"/>
      <c r="L62" s="102"/>
      <c r="M62" s="102"/>
      <c r="N62" s="102"/>
      <c r="O62" s="102"/>
      <c r="P62" s="102"/>
      <c r="Q62" s="102"/>
      <c r="R62" s="102"/>
      <c r="S62" s="102"/>
      <c r="T62" s="102"/>
      <c r="U62" s="102"/>
      <c r="V62" s="102"/>
      <c r="W62" s="102"/>
      <c r="X62" s="102"/>
      <c r="Y62" s="102"/>
      <c r="Z62" s="102"/>
      <c r="AA62" s="102"/>
    </row>
    <row r="63" spans="1:27" ht="14.25" customHeight="1">
      <c r="A63" s="308" t="s">
        <v>122</v>
      </c>
      <c r="B63" s="309"/>
      <c r="C63" s="221">
        <v>0</v>
      </c>
      <c r="D63" s="222" t="s">
        <v>121</v>
      </c>
      <c r="E63" s="216">
        <f>C63*$E$77</f>
        <v>0</v>
      </c>
      <c r="F63" s="216">
        <f t="shared" si="16"/>
        <v>0</v>
      </c>
      <c r="G63" s="220" t="str">
        <f t="shared" ref="G63:G66" si="17">"TVA moyenne de "&amp;IF(E63=0,"",ROUND(100*(F63/E63-1),2))&amp;"% (prorata SdP)"</f>
        <v>TVA moyenne de % (prorata SdP)</v>
      </c>
      <c r="H63" s="102"/>
      <c r="I63" s="102"/>
      <c r="J63" s="102"/>
      <c r="K63" s="102"/>
      <c r="L63" s="102"/>
      <c r="M63" s="102"/>
      <c r="N63" s="102"/>
      <c r="O63" s="102"/>
      <c r="P63" s="102"/>
      <c r="Q63" s="102"/>
      <c r="R63" s="102"/>
      <c r="S63" s="102"/>
      <c r="T63" s="102"/>
      <c r="U63" s="102"/>
      <c r="V63" s="102"/>
      <c r="W63" s="102"/>
      <c r="X63" s="102"/>
      <c r="Y63" s="102"/>
      <c r="Z63" s="102"/>
      <c r="AA63" s="102"/>
    </row>
    <row r="64" spans="1:27" ht="14.25" customHeight="1">
      <c r="A64" s="308" t="s">
        <v>123</v>
      </c>
      <c r="B64" s="309"/>
      <c r="C64" s="221">
        <v>0</v>
      </c>
      <c r="D64" s="222" t="s">
        <v>121</v>
      </c>
      <c r="E64" s="216">
        <f>C64*$E$77</f>
        <v>0</v>
      </c>
      <c r="F64" s="216">
        <f t="shared" si="16"/>
        <v>0</v>
      </c>
      <c r="G64" s="220" t="str">
        <f t="shared" si="17"/>
        <v>TVA moyenne de % (prorata SdP)</v>
      </c>
      <c r="H64" s="102"/>
      <c r="I64" s="102"/>
      <c r="J64" s="102"/>
      <c r="K64" s="102"/>
      <c r="L64" s="102"/>
      <c r="M64" s="102"/>
      <c r="N64" s="102"/>
      <c r="O64" s="102"/>
      <c r="P64" s="102"/>
      <c r="Q64" s="102"/>
      <c r="R64" s="102"/>
      <c r="S64" s="102"/>
      <c r="T64" s="102"/>
      <c r="U64" s="102"/>
      <c r="V64" s="102"/>
      <c r="W64" s="102"/>
      <c r="X64" s="102"/>
      <c r="Y64" s="102"/>
      <c r="Z64" s="102"/>
      <c r="AA64" s="102"/>
    </row>
    <row r="65" spans="1:27" ht="14.25" customHeight="1">
      <c r="A65" s="308" t="s">
        <v>124</v>
      </c>
      <c r="B65" s="309"/>
      <c r="C65" s="221">
        <v>0</v>
      </c>
      <c r="D65" s="222" t="s">
        <v>121</v>
      </c>
      <c r="E65" s="216">
        <f>C65*$E$77</f>
        <v>0</v>
      </c>
      <c r="F65" s="216">
        <f t="shared" si="16"/>
        <v>0</v>
      </c>
      <c r="G65" s="220" t="str">
        <f t="shared" si="17"/>
        <v>TVA moyenne de % (prorata SdP)</v>
      </c>
      <c r="H65" s="102"/>
      <c r="I65" s="102"/>
      <c r="J65" s="102"/>
      <c r="K65" s="102"/>
      <c r="L65" s="102"/>
      <c r="M65" s="102"/>
      <c r="N65" s="102"/>
      <c r="O65" s="102"/>
      <c r="P65" s="102"/>
      <c r="Q65" s="102"/>
      <c r="R65" s="102"/>
      <c r="S65" s="102"/>
      <c r="T65" s="102"/>
      <c r="U65" s="102"/>
      <c r="V65" s="102"/>
      <c r="W65" s="102"/>
      <c r="X65" s="102"/>
      <c r="Y65" s="102"/>
      <c r="Z65" s="102"/>
      <c r="AA65" s="102"/>
    </row>
    <row r="66" spans="1:27" ht="14.25" customHeight="1">
      <c r="A66" s="310" t="s">
        <v>125</v>
      </c>
      <c r="B66" s="311"/>
      <c r="C66" s="139">
        <v>0</v>
      </c>
      <c r="D66" s="133" t="s">
        <v>121</v>
      </c>
      <c r="E66" s="110">
        <f>C66*$E$77</f>
        <v>0</v>
      </c>
      <c r="F66" s="110">
        <f t="shared" si="16"/>
        <v>0</v>
      </c>
      <c r="G66" s="111" t="str">
        <f t="shared" si="17"/>
        <v>TVA moyenne de % (prorata SdP)</v>
      </c>
      <c r="H66" s="102"/>
      <c r="I66" s="102"/>
      <c r="J66" s="102"/>
      <c r="K66" s="102"/>
      <c r="L66" s="102"/>
      <c r="M66" s="102"/>
      <c r="N66" s="102"/>
      <c r="O66" s="102"/>
      <c r="P66" s="102"/>
      <c r="Q66" s="102"/>
      <c r="R66" s="102"/>
      <c r="S66" s="102"/>
      <c r="T66" s="102"/>
      <c r="U66" s="102"/>
      <c r="V66" s="102"/>
      <c r="W66" s="102"/>
      <c r="X66" s="102"/>
      <c r="Y66" s="102"/>
      <c r="Z66" s="102"/>
      <c r="AA66" s="102"/>
    </row>
    <row r="67" spans="1:27" ht="14.25" customHeight="1">
      <c r="A67" s="112" t="s">
        <v>126</v>
      </c>
      <c r="B67" s="112"/>
      <c r="C67" s="129"/>
      <c r="D67" s="113"/>
      <c r="E67" s="114">
        <f t="shared" ref="E67:F67" si="18">SUM(E49,E57,E61)</f>
        <v>2660000</v>
      </c>
      <c r="F67" s="114">
        <f t="shared" si="18"/>
        <v>3192000</v>
      </c>
      <c r="G67" s="115"/>
      <c r="H67" s="9"/>
      <c r="I67" s="9"/>
      <c r="J67" s="9"/>
      <c r="K67" s="9"/>
      <c r="L67" s="9"/>
      <c r="M67" s="9"/>
      <c r="N67" s="9"/>
      <c r="O67" s="9"/>
      <c r="P67" s="9"/>
      <c r="Q67" s="9"/>
      <c r="R67" s="9"/>
      <c r="S67" s="9"/>
      <c r="T67" s="9"/>
      <c r="U67" s="9"/>
      <c r="V67" s="9"/>
      <c r="W67" s="9"/>
      <c r="X67" s="9"/>
      <c r="Y67" s="9"/>
      <c r="Z67" s="9"/>
      <c r="AA67" s="9"/>
    </row>
    <row r="68" spans="1:27" ht="14.25" customHeight="1">
      <c r="A68" s="96" t="s">
        <v>127</v>
      </c>
      <c r="B68" s="96"/>
      <c r="C68" s="130"/>
      <c r="D68" s="96"/>
      <c r="E68" s="97">
        <f t="shared" ref="E68:F68" si="19">SUM(E69:E76)</f>
        <v>21233700</v>
      </c>
      <c r="F68" s="97">
        <f t="shared" si="19"/>
        <v>25480440</v>
      </c>
      <c r="G68" s="98"/>
      <c r="H68" s="1"/>
      <c r="I68" s="1"/>
      <c r="J68" s="1"/>
      <c r="K68" s="1"/>
      <c r="L68" s="1"/>
      <c r="M68" s="1"/>
      <c r="N68" s="1"/>
      <c r="O68" s="1"/>
      <c r="P68" s="1"/>
      <c r="Q68" s="1"/>
      <c r="R68" s="1"/>
      <c r="S68" s="1"/>
      <c r="T68" s="1"/>
      <c r="U68" s="1"/>
      <c r="V68" s="1"/>
      <c r="W68" s="1"/>
      <c r="X68" s="1"/>
      <c r="Y68" s="1"/>
      <c r="Z68" s="1"/>
      <c r="AA68" s="1"/>
    </row>
    <row r="69" spans="1:27" ht="14.25" customHeight="1">
      <c r="A69" s="312" t="s">
        <v>128</v>
      </c>
      <c r="B69" s="312"/>
      <c r="C69" s="131">
        <f>E22</f>
        <v>4598</v>
      </c>
      <c r="D69" s="116">
        <f>E17</f>
        <v>3780</v>
      </c>
      <c r="E69" s="100">
        <f t="shared" ref="E69:E70" si="20">F69/1.2</f>
        <v>14483700</v>
      </c>
      <c r="F69" s="100">
        <f>C69*D69</f>
        <v>17380440</v>
      </c>
      <c r="G69" s="117" t="s">
        <v>113</v>
      </c>
    </row>
    <row r="70" spans="1:27" ht="14.25" customHeight="1">
      <c r="A70" s="355" t="s">
        <v>129</v>
      </c>
      <c r="B70" s="356"/>
      <c r="C70" s="224">
        <f>F22</f>
        <v>0</v>
      </c>
      <c r="D70" s="225">
        <f>F17</f>
        <v>0</v>
      </c>
      <c r="E70" s="226">
        <f t="shared" si="20"/>
        <v>0</v>
      </c>
      <c r="F70" s="226">
        <f>C70*D70</f>
        <v>0</v>
      </c>
      <c r="G70" s="227" t="s">
        <v>113</v>
      </c>
    </row>
    <row r="71" spans="1:27" ht="14.25" customHeight="1">
      <c r="A71" s="353" t="s">
        <v>130</v>
      </c>
      <c r="B71" s="354"/>
      <c r="C71" s="228">
        <f>3338*0.8</f>
        <v>2670.4</v>
      </c>
      <c r="D71" s="229">
        <f>IF($C$15=0,0,C18*$D$11/$C$15)</f>
        <v>0</v>
      </c>
      <c r="E71" s="230">
        <f>C71*D71</f>
        <v>0</v>
      </c>
      <c r="F71" s="230">
        <f>1.055*E71</f>
        <v>0</v>
      </c>
      <c r="G71" s="231" t="s">
        <v>111</v>
      </c>
    </row>
    <row r="72" spans="1:27" ht="14.25" customHeight="1">
      <c r="A72" s="355" t="s">
        <v>131</v>
      </c>
      <c r="B72" s="356"/>
      <c r="C72" s="232">
        <f>C52</f>
        <v>350</v>
      </c>
      <c r="D72" s="225">
        <f>IF($C$15=0,0,C16*$D$11/$C$15)</f>
        <v>0</v>
      </c>
      <c r="E72" s="226">
        <f>C72*D72</f>
        <v>0</v>
      </c>
      <c r="F72" s="226">
        <f>E72*1.055</f>
        <v>0</v>
      </c>
      <c r="G72" s="233" t="s">
        <v>111</v>
      </c>
    </row>
    <row r="73" spans="1:27" ht="14.25" customHeight="1">
      <c r="A73" s="351" t="s">
        <v>132</v>
      </c>
      <c r="B73" s="352"/>
      <c r="C73" s="234">
        <v>3338</v>
      </c>
      <c r="D73" s="235">
        <f>IF($C$15=0,0,C18*SUM($D$12:$D$13)/$C$15)</f>
        <v>0</v>
      </c>
      <c r="E73" s="236">
        <f>C73*D73</f>
        <v>0</v>
      </c>
      <c r="F73" s="236">
        <f>1.055*E73</f>
        <v>0</v>
      </c>
      <c r="G73" s="237" t="s">
        <v>111</v>
      </c>
    </row>
    <row r="74" spans="1:27" ht="14.25" customHeight="1">
      <c r="A74" s="351" t="s">
        <v>133</v>
      </c>
      <c r="B74" s="352"/>
      <c r="C74" s="238">
        <v>3000</v>
      </c>
      <c r="D74" s="235">
        <f>IF($C$15=0,0,C17*$D$14/$C$15+4.5*ROUND($C$20*$D$14/$C$15,0))</f>
        <v>2700</v>
      </c>
      <c r="E74" s="236">
        <f>F74/1.2</f>
        <v>6750000</v>
      </c>
      <c r="F74" s="236">
        <f>D74*C74</f>
        <v>8100000</v>
      </c>
      <c r="G74" s="237" t="s">
        <v>113</v>
      </c>
    </row>
    <row r="75" spans="1:27" ht="14.25" customHeight="1">
      <c r="A75" s="351" t="s">
        <v>134</v>
      </c>
      <c r="B75" s="352"/>
      <c r="C75" s="239">
        <f>B22</f>
        <v>2250</v>
      </c>
      <c r="D75" s="235">
        <f>+B17</f>
        <v>0</v>
      </c>
      <c r="E75" s="236">
        <f>C75*D75</f>
        <v>0</v>
      </c>
      <c r="F75" s="236">
        <f>1.055*E75</f>
        <v>0</v>
      </c>
      <c r="G75" s="240" t="s">
        <v>111</v>
      </c>
    </row>
    <row r="76" spans="1:27" ht="14.25" customHeight="1">
      <c r="A76" s="353" t="s">
        <v>135</v>
      </c>
      <c r="B76" s="354"/>
      <c r="C76" s="241">
        <v>0</v>
      </c>
      <c r="D76" s="242">
        <f>SUM(B21:E21)</f>
        <v>70</v>
      </c>
      <c r="E76" s="243">
        <f>IF($C$15=0,F76/((1.2*($E$21+$F$21)+1.055*$B$21)/($B$21+$E$21+$F$21)),F76/((1.2*($C$21*$D$14/$C$15+$E$21+$F$21)+1.055*($B$21+$C$21*SUM($D$11:$D$13)/$C$15))/($B$21+$C$21+$E$21+$F$21)))</f>
        <v>0</v>
      </c>
      <c r="F76" s="230">
        <f>C76*SUM(B21:F21)</f>
        <v>0</v>
      </c>
      <c r="G76" s="246" t="str">
        <f>"TVA moyenne de "&amp;IF(E76=0,"",ROUND(100*(F76/E76-1),2))&amp;"% (prorata nb places)"</f>
        <v>TVA moyenne de % (prorata nb places)</v>
      </c>
    </row>
    <row r="77" spans="1:27" ht="14.25" customHeight="1">
      <c r="A77" s="112" t="s">
        <v>136</v>
      </c>
      <c r="B77" s="112"/>
      <c r="C77" s="132"/>
      <c r="D77" s="112"/>
      <c r="E77" s="114">
        <f t="shared" ref="E77:F77" si="21">E68</f>
        <v>21233700</v>
      </c>
      <c r="F77" s="114">
        <f t="shared" si="21"/>
        <v>25480440</v>
      </c>
      <c r="G77" s="115"/>
      <c r="H77" s="9"/>
      <c r="I77" s="9"/>
      <c r="J77" s="9"/>
      <c r="K77" s="9"/>
      <c r="L77" s="9"/>
      <c r="M77" s="9"/>
      <c r="N77" s="9"/>
      <c r="O77" s="9"/>
      <c r="P77" s="9"/>
      <c r="Q77" s="9"/>
      <c r="R77" s="9"/>
      <c r="S77" s="9"/>
      <c r="T77" s="9"/>
      <c r="U77" s="9"/>
      <c r="V77" s="9"/>
      <c r="W77" s="9"/>
      <c r="X77" s="9"/>
      <c r="Y77" s="9"/>
      <c r="Z77" s="9"/>
      <c r="AA77" s="9"/>
    </row>
    <row r="78" spans="1:27" ht="14.25" customHeight="1">
      <c r="A78" s="118" t="s">
        <v>137</v>
      </c>
      <c r="B78" s="118"/>
      <c r="C78" s="119">
        <f>(F77-F67)/F77</f>
        <v>0.87472743798772701</v>
      </c>
      <c r="D78" s="120"/>
      <c r="E78" s="120"/>
      <c r="F78" s="121">
        <f>F77-F67</f>
        <v>22288440</v>
      </c>
      <c r="G78" s="122"/>
    </row>
    <row r="79" spans="1:27" ht="14.25" customHeight="1">
      <c r="A79" s="5"/>
      <c r="B79" s="5"/>
      <c r="C79" s="5"/>
      <c r="D79" s="5"/>
      <c r="E79" s="5"/>
      <c r="F79" s="5"/>
      <c r="G79" s="5"/>
    </row>
    <row r="80" spans="1:27" ht="21">
      <c r="A80" s="343" t="s">
        <v>138</v>
      </c>
      <c r="B80" s="343"/>
      <c r="C80" s="343"/>
      <c r="D80" s="343"/>
      <c r="E80" s="343"/>
      <c r="F80" s="343"/>
      <c r="G80" s="343"/>
      <c r="H80" s="152"/>
      <c r="I80" s="152"/>
      <c r="J80" s="152"/>
      <c r="K80" s="152"/>
      <c r="L80" s="152"/>
      <c r="M80" s="152"/>
      <c r="N80" s="152"/>
      <c r="O80" s="152"/>
      <c r="P80" s="152"/>
      <c r="Q80" s="152"/>
      <c r="R80" s="152"/>
      <c r="S80" s="152"/>
      <c r="T80" s="152"/>
      <c r="U80" s="152"/>
      <c r="V80" s="152"/>
      <c r="W80" s="152"/>
      <c r="X80" s="152"/>
      <c r="Y80" s="152"/>
      <c r="Z80" s="152"/>
    </row>
    <row r="81" spans="1:27" ht="44.25" customHeight="1">
      <c r="A81" s="319" t="s">
        <v>139</v>
      </c>
      <c r="B81" s="320"/>
      <c r="C81" s="340"/>
      <c r="D81" s="341"/>
      <c r="E81" s="341"/>
      <c r="F81" s="341"/>
      <c r="G81" s="342"/>
      <c r="H81" s="54"/>
      <c r="I81" s="54"/>
      <c r="J81" s="54"/>
      <c r="K81" s="54"/>
      <c r="L81" s="54"/>
      <c r="M81" s="54"/>
      <c r="N81" s="54"/>
      <c r="O81" s="54"/>
      <c r="P81" s="54"/>
      <c r="Q81" s="54"/>
      <c r="R81" s="54"/>
      <c r="S81" s="54"/>
      <c r="T81" s="54"/>
      <c r="U81" s="54"/>
      <c r="V81" s="54"/>
      <c r="W81" s="54"/>
      <c r="X81" s="54"/>
      <c r="Y81" s="54"/>
      <c r="Z81" s="54"/>
      <c r="AA81" s="54"/>
    </row>
    <row r="82" spans="1:27" ht="44.25" customHeight="1">
      <c r="A82" s="321" t="s">
        <v>140</v>
      </c>
      <c r="B82" s="314"/>
      <c r="C82" s="331"/>
      <c r="D82" s="332"/>
      <c r="E82" s="332"/>
      <c r="F82" s="332"/>
      <c r="G82" s="333"/>
      <c r="H82" s="54"/>
      <c r="I82" s="54"/>
      <c r="J82" s="54"/>
      <c r="K82" s="54"/>
      <c r="L82" s="54"/>
      <c r="M82" s="54"/>
      <c r="N82" s="54"/>
      <c r="O82" s="54"/>
      <c r="P82" s="54"/>
      <c r="Q82" s="54"/>
      <c r="R82" s="54"/>
      <c r="S82" s="54"/>
      <c r="T82" s="54"/>
      <c r="U82" s="54"/>
      <c r="V82" s="54"/>
      <c r="W82" s="54"/>
      <c r="X82" s="54"/>
      <c r="Y82" s="54"/>
      <c r="Z82" s="54"/>
      <c r="AA82" s="54"/>
    </row>
    <row r="83" spans="1:27" ht="44.25" customHeight="1">
      <c r="A83" s="322" t="s">
        <v>141</v>
      </c>
      <c r="B83" s="314"/>
      <c r="C83" s="331"/>
      <c r="D83" s="332"/>
      <c r="E83" s="332"/>
      <c r="F83" s="332"/>
      <c r="G83" s="333"/>
      <c r="H83" s="54"/>
      <c r="I83" s="54"/>
      <c r="J83" s="54"/>
      <c r="K83" s="54"/>
      <c r="L83" s="54"/>
      <c r="M83" s="54"/>
      <c r="N83" s="54"/>
      <c r="O83" s="54"/>
      <c r="P83" s="54"/>
      <c r="Q83" s="54"/>
      <c r="R83" s="54"/>
      <c r="S83" s="54"/>
      <c r="T83" s="54"/>
      <c r="U83" s="54"/>
      <c r="V83" s="54"/>
      <c r="W83" s="54"/>
      <c r="X83" s="54"/>
      <c r="Y83" s="54"/>
      <c r="Z83" s="54"/>
      <c r="AA83" s="54"/>
    </row>
    <row r="84" spans="1:27" ht="48" customHeight="1">
      <c r="A84" s="126" t="s">
        <v>142</v>
      </c>
      <c r="B84" s="124"/>
      <c r="C84" s="331"/>
      <c r="D84" s="332"/>
      <c r="E84" s="332"/>
      <c r="F84" s="332"/>
      <c r="G84" s="333"/>
      <c r="H84" s="54"/>
      <c r="I84" s="54"/>
      <c r="J84" s="54"/>
      <c r="K84" s="54"/>
      <c r="L84" s="54"/>
      <c r="M84" s="54"/>
      <c r="N84" s="54"/>
      <c r="O84" s="54"/>
      <c r="P84" s="54"/>
      <c r="Q84" s="54"/>
      <c r="R84" s="54"/>
      <c r="S84" s="54"/>
      <c r="T84" s="54"/>
      <c r="U84" s="54"/>
      <c r="V84" s="54"/>
      <c r="W84" s="54"/>
      <c r="X84" s="54"/>
      <c r="Y84" s="54"/>
      <c r="Z84" s="54"/>
      <c r="AA84" s="54"/>
    </row>
    <row r="85" spans="1:27" ht="75.75" customHeight="1">
      <c r="A85" s="313" t="s">
        <v>143</v>
      </c>
      <c r="B85" s="314"/>
      <c r="C85" s="331"/>
      <c r="D85" s="332"/>
      <c r="E85" s="332"/>
      <c r="F85" s="332"/>
      <c r="G85" s="333"/>
      <c r="H85" s="54"/>
      <c r="I85" s="54"/>
      <c r="J85" s="54"/>
      <c r="K85" s="54"/>
      <c r="L85" s="54"/>
      <c r="M85" s="54"/>
      <c r="N85" s="54"/>
      <c r="O85" s="54"/>
      <c r="P85" s="54"/>
      <c r="Q85" s="54"/>
      <c r="R85" s="54"/>
      <c r="S85" s="54"/>
      <c r="T85" s="54"/>
      <c r="U85" s="54"/>
      <c r="V85" s="54"/>
      <c r="W85" s="54"/>
      <c r="X85" s="54"/>
      <c r="Y85" s="54"/>
      <c r="Z85" s="54"/>
      <c r="AA85" s="54"/>
    </row>
    <row r="86" spans="1:27" ht="48.75" customHeight="1">
      <c r="A86" s="313" t="s">
        <v>144</v>
      </c>
      <c r="B86" s="314"/>
      <c r="C86" s="331"/>
      <c r="D86" s="332"/>
      <c r="E86" s="332"/>
      <c r="F86" s="332"/>
      <c r="G86" s="333"/>
      <c r="H86" s="54"/>
      <c r="I86" s="54"/>
      <c r="J86" s="54"/>
      <c r="K86" s="54"/>
      <c r="L86" s="54"/>
      <c r="M86" s="54"/>
      <c r="N86" s="54"/>
      <c r="O86" s="54"/>
      <c r="P86" s="54"/>
      <c r="Q86" s="54"/>
      <c r="R86" s="54"/>
      <c r="S86" s="54"/>
      <c r="T86" s="54"/>
      <c r="U86" s="54"/>
      <c r="V86" s="54"/>
      <c r="W86" s="54"/>
      <c r="X86" s="54"/>
      <c r="Y86" s="54"/>
      <c r="Z86" s="54"/>
      <c r="AA86" s="54"/>
    </row>
    <row r="87" spans="1:27" ht="44.25" customHeight="1">
      <c r="A87" s="313" t="s">
        <v>145</v>
      </c>
      <c r="B87" s="314"/>
      <c r="C87" s="331"/>
      <c r="D87" s="332"/>
      <c r="E87" s="332"/>
      <c r="F87" s="332"/>
      <c r="G87" s="333"/>
      <c r="H87" s="54"/>
      <c r="I87" s="54"/>
      <c r="J87" s="54"/>
      <c r="K87" s="54"/>
      <c r="L87" s="54"/>
      <c r="M87" s="54"/>
      <c r="N87" s="54"/>
      <c r="O87" s="54"/>
      <c r="P87" s="54"/>
      <c r="Q87" s="54"/>
      <c r="R87" s="54"/>
      <c r="S87" s="54"/>
      <c r="T87" s="54"/>
      <c r="U87" s="54"/>
      <c r="V87" s="54"/>
      <c r="W87" s="54"/>
      <c r="X87" s="54"/>
      <c r="Y87" s="54"/>
      <c r="Z87" s="54"/>
      <c r="AA87" s="54"/>
    </row>
    <row r="88" spans="1:27" ht="14.25" customHeight="1"/>
    <row r="89" spans="1:27" ht="14.25" customHeight="1"/>
    <row r="90" spans="1:27" ht="14.25" customHeight="1"/>
    <row r="91" spans="1:27" ht="14.25" customHeight="1"/>
    <row r="92" spans="1:27" ht="14.25" customHeight="1"/>
    <row r="93" spans="1:27" ht="14.25" customHeight="1"/>
    <row r="94" spans="1:27" ht="14.25" customHeight="1"/>
    <row r="95" spans="1:27" ht="14.25" customHeight="1"/>
    <row r="96" spans="1:27"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row r="1001" ht="14.25" customHeight="1"/>
  </sheetData>
  <sheetProtection algorithmName="SHA-512" hashValue="mrspAxFXktpJ2bMUE1ovBVzwyakIuIhm1eJUYgCTD1FxO/6nRSh7FNPSyTqaFRwPg1RbP5GMiY1dWwYe6jmYag==" saltValue="yJg2eL2BYWyndGA8gr71KQ==" spinCount="100000" sheet="1" objects="1" scenarios="1"/>
  <mergeCells count="79">
    <mergeCell ref="A86:B86"/>
    <mergeCell ref="C86:G86"/>
    <mergeCell ref="A87:B87"/>
    <mergeCell ref="C87:G87"/>
    <mergeCell ref="A80:G80"/>
    <mergeCell ref="A82:B82"/>
    <mergeCell ref="C82:G82"/>
    <mergeCell ref="A83:B83"/>
    <mergeCell ref="C83:G83"/>
    <mergeCell ref="C84:G84"/>
    <mergeCell ref="A85:B85"/>
    <mergeCell ref="C85:G85"/>
    <mergeCell ref="C81:G81"/>
    <mergeCell ref="A73:B73"/>
    <mergeCell ref="A74:B74"/>
    <mergeCell ref="A75:B75"/>
    <mergeCell ref="A76:B76"/>
    <mergeCell ref="A81:B81"/>
    <mergeCell ref="A72:B72"/>
    <mergeCell ref="A58:B58"/>
    <mergeCell ref="A59:B59"/>
    <mergeCell ref="A60:B60"/>
    <mergeCell ref="A62:B62"/>
    <mergeCell ref="A63:B63"/>
    <mergeCell ref="A64:B64"/>
    <mergeCell ref="A65:B65"/>
    <mergeCell ref="A66:B66"/>
    <mergeCell ref="A69:B69"/>
    <mergeCell ref="A70:B70"/>
    <mergeCell ref="A71:B71"/>
    <mergeCell ref="A56:B56"/>
    <mergeCell ref="A43:A44"/>
    <mergeCell ref="E43:G43"/>
    <mergeCell ref="E44:G44"/>
    <mergeCell ref="B45:G45"/>
    <mergeCell ref="A47:G47"/>
    <mergeCell ref="A50:B50"/>
    <mergeCell ref="A51:B51"/>
    <mergeCell ref="A52:B52"/>
    <mergeCell ref="A53:B53"/>
    <mergeCell ref="A54:B54"/>
    <mergeCell ref="A55:B55"/>
    <mergeCell ref="E36:G36"/>
    <mergeCell ref="A38:A39"/>
    <mergeCell ref="B38:B39"/>
    <mergeCell ref="E38:G38"/>
    <mergeCell ref="E39:G39"/>
    <mergeCell ref="A40:A42"/>
    <mergeCell ref="B40:B42"/>
    <mergeCell ref="E40:G40"/>
    <mergeCell ref="E41:G41"/>
    <mergeCell ref="E42:G42"/>
    <mergeCell ref="E35:G35"/>
    <mergeCell ref="C21:D21"/>
    <mergeCell ref="A22:A23"/>
    <mergeCell ref="C22:D23"/>
    <mergeCell ref="A25:G25"/>
    <mergeCell ref="E26:G26"/>
    <mergeCell ref="E27:G27"/>
    <mergeCell ref="E29:G29"/>
    <mergeCell ref="E30:G30"/>
    <mergeCell ref="E31:G31"/>
    <mergeCell ref="E32:G32"/>
    <mergeCell ref="E34:G34"/>
    <mergeCell ref="C20:D20"/>
    <mergeCell ref="C1:D1"/>
    <mergeCell ref="C2:D5"/>
    <mergeCell ref="E2:E5"/>
    <mergeCell ref="A7:G7"/>
    <mergeCell ref="B10:B14"/>
    <mergeCell ref="C10:D10"/>
    <mergeCell ref="E10:E14"/>
    <mergeCell ref="F10:F14"/>
    <mergeCell ref="G10:G14"/>
    <mergeCell ref="C15:D15"/>
    <mergeCell ref="C16:D16"/>
    <mergeCell ref="C17:D17"/>
    <mergeCell ref="C18:D18"/>
    <mergeCell ref="C19:D19"/>
  </mergeCells>
  <dataValidations count="5">
    <dataValidation type="list" allowBlank="1" showInputMessage="1" showErrorMessage="1" sqref="D27 D29:D32 D34:D36 D38:D44">
      <formula1>"OUI,NON"</formula1>
    </dataValidation>
    <dataValidation type="whole" operator="lessThanOrEqual" allowBlank="1" showDropDown="1" showInputMessage="1" showErrorMessage="1" error="doit être inférieur ou égal au total de places B21+C21+E21+F21" prompt="Renseigner le nombre de places réalisé sur l'opération s'il est fait le choix de ne pas les positionner exclusivement hors site (concession longue durée)" sqref="D60">
      <formula1>SUM(B21,C21,E21,F21)</formula1>
    </dataValidation>
    <dataValidation type="whole" operator="lessThanOrEqual" allowBlank="1" showInputMessage="1" showErrorMessage="1" error="23 800 € TTC max" prompt="23 800 € TTC max" sqref="C76">
      <formula1>23800</formula1>
    </dataValidation>
    <dataValidation type="list" allowBlank="1" showInputMessage="1" promptTitle="Choisir entre options tarifaires" prompt="   1. décaissement initial faible (18 300 € HT / pl) et frais de gestion annuels élevés_x000a_   2. décaissement initial élevé (21 650€ HT / pl) et frais de gestion annuels faibles" sqref="C56">
      <formula1>"18300,21650"</formula1>
    </dataValidation>
    <dataValidation type="list" allowBlank="1" showInputMessage="1" showErrorMessage="1" promptTitle="Choisir entre options" prompt="   - 2 200 € sans pk ou avec pk aérien_x000a_   - 2 250 € avec pk en ouvrage" sqref="B22">
      <formula1>"2200,2250"</formula1>
    </dataValidation>
  </dataValidations>
  <pageMargins left="0.23622047244094491" right="0.23622047244094491" top="0.74803149606299213" bottom="0.74803149606299213" header="0" footer="0"/>
  <pageSetup paperSize="8" scale="57" fitToHeight="0"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Z1001"/>
  <sheetViews>
    <sheetView workbookViewId="0">
      <pane ySplit="5" topLeftCell="A6" activePane="bottomLeft" state="frozenSplit"/>
      <selection activeCell="G1" sqref="G1"/>
      <selection pane="bottomLeft" activeCell="D11" sqref="D11"/>
    </sheetView>
  </sheetViews>
  <sheetFormatPr baseColWidth="10" defaultColWidth="14.44140625" defaultRowHeight="14.4"/>
  <cols>
    <col min="1" max="1" width="48.44140625" bestFit="1" customWidth="1"/>
    <col min="2" max="2" width="31.21875" bestFit="1" customWidth="1"/>
    <col min="3" max="3" width="40.21875" bestFit="1" customWidth="1"/>
    <col min="4" max="4" width="14.77734375" customWidth="1"/>
    <col min="5" max="6" width="31.21875" customWidth="1"/>
    <col min="7" max="7" width="53.5546875" customWidth="1"/>
    <col min="8" max="26" width="10.77734375" customWidth="1"/>
  </cols>
  <sheetData>
    <row r="1" spans="1:26" ht="86.25" customHeight="1" thickBot="1">
      <c r="A1" s="144" t="s">
        <v>153</v>
      </c>
      <c r="B1" s="145" t="s">
        <v>151</v>
      </c>
      <c r="C1" s="407" t="s">
        <v>152</v>
      </c>
      <c r="D1" s="377"/>
      <c r="E1" s="12">
        <f>E22*0.6+3338*75/70*1.055*0.4</f>
        <v>4268.0528571428567</v>
      </c>
      <c r="F1" s="13" t="s">
        <v>41</v>
      </c>
      <c r="G1" s="123"/>
      <c r="H1" s="14"/>
      <c r="I1" s="14"/>
    </row>
    <row r="2" spans="1:26" ht="14.25" customHeight="1" thickBot="1">
      <c r="A2" s="146" t="str">
        <f>B10</f>
        <v>Locatif social</v>
      </c>
      <c r="B2" s="147">
        <v>0.25</v>
      </c>
      <c r="C2" s="408" t="s">
        <v>42</v>
      </c>
      <c r="D2" s="379"/>
      <c r="E2" s="385">
        <f>(SUM(F69,F71,F73:F74)/(C17+E17))</f>
        <v>4117.1275714285712</v>
      </c>
      <c r="F2" s="17"/>
      <c r="G2" s="5"/>
      <c r="H2" s="14"/>
      <c r="I2" s="14"/>
    </row>
    <row r="3" spans="1:26" ht="14.25" customHeight="1" thickBot="1">
      <c r="A3" s="148" t="str">
        <f>C10</f>
        <v>Accession encadrée</v>
      </c>
      <c r="B3" s="149">
        <v>0.3</v>
      </c>
      <c r="C3" s="409"/>
      <c r="D3" s="379"/>
      <c r="E3" s="316"/>
      <c r="F3" s="5"/>
      <c r="G3" s="5"/>
      <c r="H3" s="14"/>
      <c r="I3" s="14"/>
    </row>
    <row r="4" spans="1:26" ht="14.25" customHeight="1" thickBot="1">
      <c r="A4" s="148" t="str">
        <f>E10</f>
        <v>Libre VAD</v>
      </c>
      <c r="B4" s="149">
        <v>0.45</v>
      </c>
      <c r="C4" s="409"/>
      <c r="D4" s="379"/>
      <c r="E4" s="316"/>
      <c r="F4" s="5"/>
      <c r="G4" s="5"/>
      <c r="H4" s="14"/>
      <c r="I4" s="14"/>
    </row>
    <row r="5" spans="1:26" ht="14.25" customHeight="1" thickBot="1">
      <c r="A5" s="148" t="str">
        <f>F10</f>
        <v>Vente en bloc (LLI et résidences gérées)</v>
      </c>
      <c r="B5" s="149">
        <v>0</v>
      </c>
      <c r="C5" s="409"/>
      <c r="D5" s="382"/>
      <c r="E5" s="386"/>
      <c r="F5" s="5"/>
      <c r="G5" s="5"/>
      <c r="H5" s="14"/>
      <c r="I5" s="14"/>
    </row>
    <row r="6" spans="1:26" ht="14.25" customHeight="1">
      <c r="A6" s="20"/>
      <c r="B6" s="20"/>
      <c r="C6" s="5"/>
      <c r="D6" s="5"/>
      <c r="E6" s="5"/>
      <c r="F6" s="5"/>
      <c r="G6" s="5"/>
      <c r="H6" s="14"/>
      <c r="I6" s="14"/>
    </row>
    <row r="7" spans="1:26" ht="21">
      <c r="A7" s="343" t="s">
        <v>43</v>
      </c>
      <c r="B7" s="343"/>
      <c r="C7" s="343"/>
      <c r="D7" s="343"/>
      <c r="E7" s="343"/>
      <c r="F7" s="343"/>
      <c r="G7" s="343"/>
      <c r="H7" s="152"/>
      <c r="I7" s="152"/>
      <c r="J7" s="152"/>
      <c r="K7" s="152"/>
      <c r="L7" s="152"/>
      <c r="M7" s="152"/>
      <c r="N7" s="152"/>
      <c r="O7" s="152"/>
      <c r="P7" s="152"/>
      <c r="Q7" s="152"/>
      <c r="R7" s="152"/>
      <c r="S7" s="152"/>
      <c r="T7" s="152"/>
      <c r="U7" s="152"/>
      <c r="V7" s="152"/>
      <c r="W7" s="152"/>
      <c r="X7" s="152"/>
      <c r="Y7" s="152"/>
      <c r="Z7" s="152"/>
    </row>
    <row r="8" spans="1:26" ht="14.25" customHeight="1">
      <c r="A8" s="21" t="s">
        <v>44</v>
      </c>
      <c r="B8" s="22">
        <v>7000</v>
      </c>
      <c r="C8" s="23"/>
      <c r="D8" s="3"/>
      <c r="E8" s="24"/>
      <c r="F8" s="25"/>
      <c r="G8" s="25"/>
      <c r="H8" s="27"/>
      <c r="I8" s="28"/>
      <c r="J8" s="3"/>
      <c r="K8" s="3"/>
      <c r="L8" s="3"/>
      <c r="M8" s="3"/>
      <c r="N8" s="3"/>
      <c r="O8" s="3"/>
      <c r="P8" s="3"/>
      <c r="Q8" s="3"/>
      <c r="R8" s="3"/>
      <c r="S8" s="3"/>
      <c r="T8" s="3"/>
      <c r="U8" s="3"/>
      <c r="V8" s="3"/>
      <c r="W8" s="3"/>
      <c r="X8" s="3"/>
      <c r="Y8" s="3"/>
      <c r="Z8" s="3"/>
    </row>
    <row r="9" spans="1:26" ht="14.25" customHeight="1">
      <c r="A9" s="21" t="s">
        <v>45</v>
      </c>
      <c r="B9" s="6">
        <v>100</v>
      </c>
      <c r="C9" s="23"/>
      <c r="D9" s="3"/>
      <c r="E9" s="24"/>
      <c r="F9" s="25"/>
      <c r="G9" s="25"/>
      <c r="H9" s="27"/>
      <c r="I9" s="28"/>
      <c r="J9" s="3"/>
      <c r="K9" s="3"/>
      <c r="L9" s="3"/>
      <c r="M9" s="3"/>
      <c r="N9" s="3"/>
      <c r="O9" s="3"/>
      <c r="P9" s="3"/>
      <c r="Q9" s="3"/>
      <c r="R9" s="3"/>
      <c r="S9" s="3"/>
      <c r="T9" s="3"/>
      <c r="U9" s="3"/>
      <c r="V9" s="3"/>
      <c r="W9" s="3"/>
      <c r="X9" s="3"/>
      <c r="Y9" s="3"/>
      <c r="Z9" s="3"/>
    </row>
    <row r="10" spans="1:26" ht="14.25" customHeight="1">
      <c r="A10" s="29"/>
      <c r="B10" s="387" t="s">
        <v>46</v>
      </c>
      <c r="C10" s="402" t="s">
        <v>9</v>
      </c>
      <c r="D10" s="384"/>
      <c r="E10" s="389" t="s">
        <v>47</v>
      </c>
      <c r="F10" s="387" t="s">
        <v>48</v>
      </c>
      <c r="G10" s="392" t="s">
        <v>49</v>
      </c>
      <c r="H10" s="27"/>
      <c r="I10" s="28"/>
      <c r="J10" s="3"/>
      <c r="K10" s="3"/>
      <c r="L10" s="3"/>
      <c r="M10" s="3"/>
      <c r="N10" s="3"/>
      <c r="O10" s="3"/>
      <c r="P10" s="3"/>
      <c r="Q10" s="3"/>
      <c r="R10" s="3"/>
      <c r="S10" s="3"/>
      <c r="T10" s="3"/>
      <c r="U10" s="3"/>
      <c r="V10" s="3"/>
      <c r="W10" s="3"/>
      <c r="X10" s="3"/>
      <c r="Y10" s="3"/>
      <c r="Z10" s="3"/>
    </row>
    <row r="11" spans="1:26" ht="14.25" customHeight="1">
      <c r="A11" s="24"/>
      <c r="B11" s="388"/>
      <c r="C11" s="30" t="s">
        <v>50</v>
      </c>
      <c r="D11" s="134">
        <v>0.15</v>
      </c>
      <c r="E11" s="390"/>
      <c r="F11" s="388"/>
      <c r="G11" s="388"/>
      <c r="H11" s="8"/>
      <c r="I11" s="28"/>
      <c r="J11" s="5"/>
      <c r="K11" s="5"/>
      <c r="L11" s="5"/>
      <c r="M11" s="5"/>
      <c r="N11" s="5"/>
      <c r="O11" s="5"/>
      <c r="P11" s="5"/>
      <c r="Q11" s="5"/>
      <c r="R11" s="5"/>
      <c r="S11" s="5"/>
      <c r="T11" s="5"/>
      <c r="U11" s="5"/>
      <c r="V11" s="5"/>
      <c r="W11" s="5"/>
      <c r="X11" s="5"/>
      <c r="Y11" s="5"/>
      <c r="Z11" s="5"/>
    </row>
    <row r="12" spans="1:26" ht="14.25" customHeight="1">
      <c r="A12" s="24"/>
      <c r="B12" s="388"/>
      <c r="C12" s="32" t="s">
        <v>51</v>
      </c>
      <c r="D12" s="135">
        <v>0</v>
      </c>
      <c r="E12" s="390"/>
      <c r="F12" s="388"/>
      <c r="G12" s="388"/>
      <c r="H12" s="8"/>
      <c r="I12" s="28"/>
      <c r="J12" s="5"/>
      <c r="K12" s="5"/>
      <c r="L12" s="5"/>
      <c r="M12" s="5"/>
      <c r="N12" s="5"/>
      <c r="O12" s="5"/>
      <c r="P12" s="5"/>
      <c r="Q12" s="5"/>
      <c r="R12" s="5"/>
      <c r="S12" s="5"/>
      <c r="T12" s="5"/>
      <c r="U12" s="5"/>
      <c r="V12" s="5"/>
      <c r="W12" s="5"/>
      <c r="X12" s="5"/>
      <c r="Y12" s="5"/>
      <c r="Z12" s="5"/>
    </row>
    <row r="13" spans="1:26" ht="14.25" customHeight="1">
      <c r="A13" s="24"/>
      <c r="B13" s="388"/>
      <c r="C13" s="32" t="s">
        <v>52</v>
      </c>
      <c r="D13" s="135">
        <v>0.15</v>
      </c>
      <c r="E13" s="390"/>
      <c r="F13" s="388"/>
      <c r="G13" s="388"/>
      <c r="H13" s="8"/>
      <c r="I13" s="28"/>
      <c r="J13" s="5"/>
      <c r="K13" s="5"/>
      <c r="L13" s="5"/>
      <c r="M13" s="5"/>
      <c r="N13" s="5"/>
      <c r="O13" s="5"/>
      <c r="P13" s="5"/>
      <c r="Q13" s="5"/>
      <c r="R13" s="5"/>
      <c r="S13" s="5"/>
      <c r="T13" s="5"/>
      <c r="U13" s="5"/>
      <c r="V13" s="5"/>
      <c r="W13" s="5"/>
      <c r="X13" s="5"/>
      <c r="Y13" s="5"/>
      <c r="Z13" s="5"/>
    </row>
    <row r="14" spans="1:26" ht="14.25" customHeight="1">
      <c r="A14" s="24"/>
      <c r="B14" s="366"/>
      <c r="C14" s="33" t="s">
        <v>53</v>
      </c>
      <c r="D14" s="34">
        <f>C15-SUM(D11:D13)</f>
        <v>0</v>
      </c>
      <c r="E14" s="391"/>
      <c r="F14" s="366"/>
      <c r="G14" s="366"/>
      <c r="H14" s="8"/>
      <c r="I14" s="28"/>
      <c r="J14" s="5"/>
      <c r="K14" s="5"/>
      <c r="L14" s="5"/>
      <c r="M14" s="5"/>
      <c r="N14" s="5"/>
      <c r="O14" s="5"/>
      <c r="P14" s="5"/>
      <c r="Q14" s="5"/>
      <c r="R14" s="5"/>
      <c r="S14" s="5"/>
      <c r="T14" s="5"/>
      <c r="U14" s="5"/>
      <c r="V14" s="5"/>
      <c r="W14" s="5"/>
      <c r="X14" s="5"/>
      <c r="Y14" s="5"/>
      <c r="Z14" s="5"/>
    </row>
    <row r="15" spans="1:26" ht="14.25" customHeight="1">
      <c r="A15" s="35" t="s">
        <v>54</v>
      </c>
      <c r="B15" s="36">
        <f>B2</f>
        <v>0.25</v>
      </c>
      <c r="C15" s="393">
        <f>B3</f>
        <v>0.3</v>
      </c>
      <c r="D15" s="394"/>
      <c r="E15" s="37">
        <f>B4</f>
        <v>0.45</v>
      </c>
      <c r="F15" s="37">
        <f>B5</f>
        <v>0</v>
      </c>
      <c r="G15" s="38"/>
      <c r="H15" s="8"/>
      <c r="I15" s="28"/>
      <c r="J15" s="5"/>
      <c r="K15" s="5"/>
      <c r="L15" s="5"/>
      <c r="M15" s="5"/>
      <c r="N15" s="5"/>
      <c r="O15" s="5"/>
      <c r="P15" s="5"/>
      <c r="Q15" s="5"/>
      <c r="R15" s="5"/>
      <c r="S15" s="5"/>
      <c r="T15" s="5"/>
      <c r="U15" s="5"/>
      <c r="V15" s="5"/>
      <c r="W15" s="5"/>
      <c r="X15" s="5"/>
      <c r="Y15" s="5"/>
      <c r="Z15" s="5"/>
    </row>
    <row r="16" spans="1:26" ht="14.25" customHeight="1">
      <c r="A16" s="39" t="s">
        <v>55</v>
      </c>
      <c r="B16" s="40">
        <f t="shared" ref="B16:C16" si="0">B15*$B$8</f>
        <v>1750</v>
      </c>
      <c r="C16" s="395">
        <f t="shared" si="0"/>
        <v>2100</v>
      </c>
      <c r="D16" s="396"/>
      <c r="E16" s="40">
        <f t="shared" ref="E16:F16" si="1">E15*$B$8</f>
        <v>3150</v>
      </c>
      <c r="F16" s="40">
        <f t="shared" si="1"/>
        <v>0</v>
      </c>
      <c r="G16" s="41"/>
      <c r="H16" s="8"/>
      <c r="I16" s="43"/>
      <c r="J16" s="5"/>
      <c r="K16" s="5"/>
      <c r="L16" s="5"/>
      <c r="M16" s="5"/>
      <c r="N16" s="5"/>
      <c r="O16" s="5"/>
      <c r="P16" s="5"/>
      <c r="Q16" s="5"/>
      <c r="R16" s="5"/>
      <c r="S16" s="5"/>
      <c r="T16" s="5"/>
      <c r="U16" s="5"/>
      <c r="V16" s="5"/>
      <c r="W16" s="5"/>
      <c r="X16" s="5"/>
      <c r="Y16" s="5"/>
      <c r="Z16" s="5"/>
    </row>
    <row r="17" spans="1:26" ht="14.25" customHeight="1">
      <c r="A17" s="44" t="s">
        <v>56</v>
      </c>
      <c r="B17" s="45">
        <f t="shared" ref="B17:C17" si="2">0.9*B16</f>
        <v>1575</v>
      </c>
      <c r="C17" s="397">
        <f t="shared" si="2"/>
        <v>1890</v>
      </c>
      <c r="D17" s="398"/>
      <c r="E17" s="45">
        <f t="shared" ref="E17:F17" si="3">0.9*E16</f>
        <v>2835</v>
      </c>
      <c r="F17" s="45">
        <f t="shared" si="3"/>
        <v>0</v>
      </c>
      <c r="G17" s="46" t="s">
        <v>57</v>
      </c>
      <c r="H17" s="8"/>
      <c r="I17" s="43"/>
      <c r="J17" s="5"/>
      <c r="K17" s="5"/>
      <c r="L17" s="5"/>
      <c r="M17" s="5"/>
      <c r="N17" s="5"/>
      <c r="O17" s="5"/>
      <c r="P17" s="5"/>
      <c r="Q17" s="5"/>
      <c r="R17" s="5"/>
      <c r="S17" s="5"/>
      <c r="T17" s="5"/>
      <c r="U17" s="5"/>
      <c r="V17" s="5"/>
      <c r="W17" s="5"/>
      <c r="X17" s="5"/>
      <c r="Y17" s="5"/>
      <c r="Z17" s="5"/>
    </row>
    <row r="18" spans="1:26" ht="14.25" customHeight="1">
      <c r="A18" s="47" t="s">
        <v>58</v>
      </c>
      <c r="B18" s="48">
        <f t="shared" ref="B18:C18" si="4">ROUND(B17*75/70,0)</f>
        <v>1688</v>
      </c>
      <c r="C18" s="399">
        <f t="shared" si="4"/>
        <v>2025</v>
      </c>
      <c r="D18" s="400"/>
      <c r="E18" s="48">
        <f t="shared" ref="E18:F18" si="5">ROUND(E17*75/70,0)</f>
        <v>3038</v>
      </c>
      <c r="F18" s="48">
        <f t="shared" si="5"/>
        <v>0</v>
      </c>
      <c r="G18" s="49" t="s">
        <v>59</v>
      </c>
      <c r="H18" s="8"/>
      <c r="I18" s="43"/>
      <c r="J18" s="5"/>
      <c r="K18" s="5"/>
      <c r="L18" s="5"/>
      <c r="M18" s="5"/>
      <c r="N18" s="5"/>
      <c r="O18" s="5"/>
      <c r="P18" s="5"/>
      <c r="Q18" s="5"/>
      <c r="R18" s="5"/>
      <c r="S18" s="5"/>
      <c r="T18" s="5"/>
      <c r="U18" s="5"/>
      <c r="V18" s="5"/>
      <c r="W18" s="5"/>
      <c r="X18" s="5"/>
      <c r="Y18" s="5"/>
      <c r="Z18" s="5"/>
    </row>
    <row r="19" spans="1:26" ht="14.25" customHeight="1">
      <c r="A19" s="50" t="s">
        <v>60</v>
      </c>
      <c r="B19" s="51">
        <v>250</v>
      </c>
      <c r="C19" s="401" t="str">
        <f>IF($C$15=0,0,ROUND((350*D11+275*SUM(D12:D14))/C15,0))&amp;" € (350 € BRS et 275 € autres produits)"</f>
        <v>313 € (350 € BRS et 275 € autres produits)</v>
      </c>
      <c r="D19" s="364"/>
      <c r="E19" s="51">
        <v>450</v>
      </c>
      <c r="F19" s="51">
        <v>450</v>
      </c>
      <c r="G19" s="52"/>
      <c r="H19" s="8"/>
      <c r="I19" s="43"/>
      <c r="J19" s="5"/>
      <c r="K19" s="5"/>
      <c r="L19" s="5"/>
      <c r="M19" s="5"/>
      <c r="N19" s="5"/>
      <c r="O19" s="5"/>
      <c r="P19" s="5"/>
      <c r="Q19" s="5"/>
      <c r="R19" s="5"/>
      <c r="S19" s="5"/>
      <c r="T19" s="5"/>
      <c r="U19" s="5"/>
      <c r="V19" s="5"/>
      <c r="W19" s="5"/>
      <c r="X19" s="5"/>
      <c r="Y19" s="5"/>
      <c r="Z19" s="5"/>
    </row>
    <row r="20" spans="1:26" ht="14.25" customHeight="1">
      <c r="A20" s="50" t="s">
        <v>61</v>
      </c>
      <c r="B20" s="53">
        <f t="shared" ref="B20:C20" si="6">B15*$B$9</f>
        <v>25</v>
      </c>
      <c r="C20" s="363">
        <f t="shared" si="6"/>
        <v>30</v>
      </c>
      <c r="D20" s="364"/>
      <c r="E20" s="53">
        <f t="shared" ref="E20:F20" si="7">E15*$B$9</f>
        <v>45</v>
      </c>
      <c r="F20" s="53">
        <f t="shared" si="7"/>
        <v>0</v>
      </c>
      <c r="G20" s="52"/>
      <c r="H20" s="54"/>
      <c r="I20" s="55"/>
      <c r="J20" s="5"/>
      <c r="K20" s="5"/>
      <c r="L20" s="5"/>
      <c r="M20" s="5"/>
      <c r="N20" s="5"/>
      <c r="O20" s="5"/>
      <c r="P20" s="5"/>
      <c r="Q20" s="5"/>
      <c r="R20" s="5"/>
      <c r="S20" s="5"/>
      <c r="T20" s="5"/>
      <c r="U20" s="5"/>
      <c r="V20" s="5"/>
      <c r="W20" s="5"/>
      <c r="X20" s="5"/>
      <c r="Y20" s="5"/>
      <c r="Z20" s="5"/>
    </row>
    <row r="21" spans="1:26" ht="14.25" customHeight="1">
      <c r="A21" s="50" t="s">
        <v>62</v>
      </c>
      <c r="B21" s="53">
        <f>ROUND(B20*0.5,0)</f>
        <v>13</v>
      </c>
      <c r="C21" s="363">
        <f>ROUND(C20*0.7,0)</f>
        <v>21</v>
      </c>
      <c r="D21" s="364"/>
      <c r="E21" s="53">
        <f t="shared" ref="E21:F21" si="8">ROUND(E20*0.7,0)</f>
        <v>32</v>
      </c>
      <c r="F21" s="53">
        <f t="shared" si="8"/>
        <v>0</v>
      </c>
      <c r="G21" s="52" t="s">
        <v>146</v>
      </c>
      <c r="H21" s="54"/>
      <c r="I21" s="55"/>
      <c r="J21" s="5"/>
      <c r="K21" s="5"/>
      <c r="L21" s="5"/>
      <c r="M21" s="5"/>
      <c r="N21" s="5"/>
      <c r="O21" s="5"/>
      <c r="P21" s="5"/>
      <c r="Q21" s="5"/>
      <c r="R21" s="5"/>
      <c r="S21" s="5"/>
      <c r="T21" s="5"/>
      <c r="U21" s="5"/>
      <c r="V21" s="5"/>
      <c r="W21" s="5"/>
      <c r="X21" s="5"/>
      <c r="Y21" s="5"/>
      <c r="Z21" s="5"/>
    </row>
    <row r="22" spans="1:26" ht="14.25" customHeight="1">
      <c r="A22" s="365" t="s">
        <v>63</v>
      </c>
      <c r="B22" s="247">
        <v>2250</v>
      </c>
      <c r="C22" s="403" t="s">
        <v>64</v>
      </c>
      <c r="D22" s="368"/>
      <c r="E22" s="140">
        <v>4598</v>
      </c>
      <c r="F22" s="136"/>
      <c r="G22" s="56"/>
      <c r="H22" s="54"/>
      <c r="I22" s="55"/>
      <c r="J22" s="5"/>
      <c r="K22" s="5"/>
      <c r="L22" s="5"/>
      <c r="M22" s="5"/>
      <c r="N22" s="5"/>
      <c r="O22" s="5"/>
      <c r="P22" s="5"/>
      <c r="Q22" s="5"/>
      <c r="R22" s="5"/>
      <c r="S22" s="5"/>
      <c r="T22" s="5"/>
      <c r="U22" s="5"/>
      <c r="V22" s="5"/>
      <c r="W22" s="5"/>
      <c r="X22" s="5"/>
      <c r="Y22" s="5"/>
      <c r="Z22" s="5"/>
    </row>
    <row r="23" spans="1:26" ht="60">
      <c r="A23" s="366"/>
      <c r="B23" s="57" t="s">
        <v>65</v>
      </c>
      <c r="C23" s="369"/>
      <c r="D23" s="370"/>
      <c r="E23" s="57" t="s">
        <v>66</v>
      </c>
      <c r="F23" s="57"/>
      <c r="G23" s="58"/>
      <c r="H23" s="5"/>
      <c r="I23" s="5"/>
      <c r="J23" s="5"/>
      <c r="K23" s="5"/>
      <c r="L23" s="5"/>
      <c r="M23" s="5"/>
      <c r="N23" s="5"/>
      <c r="O23" s="5"/>
      <c r="P23" s="5"/>
      <c r="Q23" s="5"/>
      <c r="R23" s="5"/>
      <c r="S23" s="5"/>
      <c r="T23" s="5"/>
      <c r="U23" s="5"/>
      <c r="V23" s="5"/>
      <c r="W23" s="5"/>
      <c r="X23" s="5"/>
      <c r="Y23" s="5"/>
      <c r="Z23" s="5"/>
    </row>
    <row r="24" spans="1:26" ht="14.25" customHeight="1">
      <c r="A24" s="5"/>
      <c r="B24" s="5"/>
      <c r="C24" s="5"/>
      <c r="D24" s="5"/>
      <c r="E24" s="5"/>
      <c r="F24" s="142"/>
      <c r="G24" s="142"/>
    </row>
    <row r="25" spans="1:26" ht="21">
      <c r="A25" s="343" t="s">
        <v>67</v>
      </c>
      <c r="B25" s="343"/>
      <c r="C25" s="343"/>
      <c r="D25" s="343"/>
      <c r="E25" s="343"/>
      <c r="F25" s="343"/>
      <c r="G25" s="343"/>
      <c r="H25" s="152"/>
      <c r="I25" s="152"/>
      <c r="J25" s="152"/>
      <c r="K25" s="152"/>
      <c r="L25" s="152"/>
      <c r="M25" s="152"/>
      <c r="N25" s="152"/>
      <c r="O25" s="152"/>
      <c r="P25" s="152"/>
      <c r="Q25" s="152"/>
      <c r="R25" s="152"/>
      <c r="S25" s="152"/>
      <c r="T25" s="152"/>
      <c r="U25" s="152"/>
      <c r="V25" s="152"/>
      <c r="W25" s="152"/>
      <c r="X25" s="152"/>
      <c r="Y25" s="152"/>
      <c r="Z25" s="152"/>
    </row>
    <row r="26" spans="1:26" ht="33.75" customHeight="1">
      <c r="A26" s="59" t="s">
        <v>68</v>
      </c>
      <c r="B26" s="60" t="s">
        <v>69</v>
      </c>
      <c r="C26" s="61" t="s">
        <v>70</v>
      </c>
      <c r="D26" s="61" t="s">
        <v>71</v>
      </c>
      <c r="E26" s="371" t="s">
        <v>72</v>
      </c>
      <c r="F26" s="372"/>
      <c r="G26" s="320"/>
    </row>
    <row r="27" spans="1:26" ht="30.6">
      <c r="A27" s="62" t="s">
        <v>73</v>
      </c>
      <c r="B27" s="198" t="s">
        <v>193</v>
      </c>
      <c r="C27" s="64"/>
      <c r="D27" s="194" t="s">
        <v>74</v>
      </c>
      <c r="E27" s="373"/>
      <c r="F27" s="374"/>
      <c r="G27" s="375"/>
    </row>
    <row r="28" spans="1:26">
      <c r="A28" s="65" t="s">
        <v>75</v>
      </c>
      <c r="B28" s="66"/>
      <c r="C28" s="67"/>
      <c r="D28" s="65"/>
      <c r="E28" s="68"/>
      <c r="F28" s="68"/>
      <c r="G28" s="68"/>
    </row>
    <row r="29" spans="1:26" ht="28.8">
      <c r="A29" s="69" t="s">
        <v>76</v>
      </c>
      <c r="B29" s="70" t="s">
        <v>77</v>
      </c>
      <c r="C29" s="71"/>
      <c r="D29" s="194" t="s">
        <v>74</v>
      </c>
      <c r="E29" s="334"/>
      <c r="F29" s="335"/>
      <c r="G29" s="336"/>
    </row>
    <row r="30" spans="1:26" ht="24">
      <c r="A30" s="72" t="s">
        <v>78</v>
      </c>
      <c r="B30" s="73" t="s">
        <v>79</v>
      </c>
      <c r="C30" s="200" t="s">
        <v>197</v>
      </c>
      <c r="D30" s="194" t="s">
        <v>74</v>
      </c>
      <c r="E30" s="337"/>
      <c r="F30" s="338"/>
      <c r="G30" s="339"/>
    </row>
    <row r="31" spans="1:26" ht="24">
      <c r="A31" s="72" t="s">
        <v>80</v>
      </c>
      <c r="B31" s="73" t="s">
        <v>79</v>
      </c>
      <c r="C31" s="200" t="s">
        <v>198</v>
      </c>
      <c r="D31" s="194" t="s">
        <v>74</v>
      </c>
      <c r="E31" s="337"/>
      <c r="F31" s="338"/>
      <c r="G31" s="339"/>
    </row>
    <row r="32" spans="1:26" ht="28.8">
      <c r="A32" s="74" t="s">
        <v>81</v>
      </c>
      <c r="B32" s="75" t="s">
        <v>82</v>
      </c>
      <c r="C32" s="201" t="s">
        <v>199</v>
      </c>
      <c r="D32" s="194" t="s">
        <v>74</v>
      </c>
      <c r="E32" s="357"/>
      <c r="F32" s="358"/>
      <c r="G32" s="359"/>
    </row>
    <row r="33" spans="1:26">
      <c r="A33" s="76" t="s">
        <v>83</v>
      </c>
      <c r="B33" s="77"/>
      <c r="C33" s="78"/>
      <c r="D33" s="79"/>
      <c r="E33" s="80"/>
      <c r="F33" s="80"/>
      <c r="G33" s="80"/>
    </row>
    <row r="34" spans="1:26" ht="36">
      <c r="A34" s="196" t="s">
        <v>191</v>
      </c>
      <c r="B34" s="81" t="s">
        <v>84</v>
      </c>
      <c r="C34" s="82" t="s">
        <v>85</v>
      </c>
      <c r="D34" s="194" t="s">
        <v>74</v>
      </c>
      <c r="E34" s="360"/>
      <c r="F34" s="361"/>
      <c r="G34" s="362"/>
    </row>
    <row r="35" spans="1:26" ht="28.8">
      <c r="A35" s="72" t="s">
        <v>86</v>
      </c>
      <c r="B35" s="83" t="s">
        <v>87</v>
      </c>
      <c r="C35" s="84" t="s">
        <v>88</v>
      </c>
      <c r="D35" s="194" t="s">
        <v>74</v>
      </c>
      <c r="E35" s="337"/>
      <c r="F35" s="338"/>
      <c r="G35" s="339"/>
    </row>
    <row r="36" spans="1:26" ht="28.8">
      <c r="A36" s="74" t="s">
        <v>89</v>
      </c>
      <c r="B36" s="63" t="s">
        <v>90</v>
      </c>
      <c r="C36" s="64"/>
      <c r="D36" s="194" t="s">
        <v>74</v>
      </c>
      <c r="E36" s="337"/>
      <c r="F36" s="338"/>
      <c r="G36" s="339"/>
    </row>
    <row r="37" spans="1:26">
      <c r="A37" s="85" t="s">
        <v>91</v>
      </c>
      <c r="B37" s="86"/>
      <c r="C37" s="87"/>
      <c r="D37" s="85"/>
      <c r="E37" s="88"/>
      <c r="F37" s="88"/>
      <c r="G37" s="88"/>
    </row>
    <row r="38" spans="1:26" ht="23.4">
      <c r="A38" s="346" t="s">
        <v>92</v>
      </c>
      <c r="B38" s="347" t="s">
        <v>93</v>
      </c>
      <c r="C38" s="199" t="s">
        <v>194</v>
      </c>
      <c r="D38" s="194" t="s">
        <v>74</v>
      </c>
      <c r="E38" s="334"/>
      <c r="F38" s="335"/>
      <c r="G38" s="336"/>
    </row>
    <row r="39" spans="1:26" ht="23.4">
      <c r="A39" s="317"/>
      <c r="B39" s="317"/>
      <c r="C39" s="197" t="s">
        <v>195</v>
      </c>
      <c r="D39" s="194" t="s">
        <v>74</v>
      </c>
      <c r="E39" s="337"/>
      <c r="F39" s="338"/>
      <c r="G39" s="339"/>
    </row>
    <row r="40" spans="1:26" ht="23.4">
      <c r="A40" s="315" t="s">
        <v>94</v>
      </c>
      <c r="B40" s="318" t="s">
        <v>95</v>
      </c>
      <c r="C40" s="84" t="s">
        <v>96</v>
      </c>
      <c r="D40" s="194" t="s">
        <v>74</v>
      </c>
      <c r="E40" s="337"/>
      <c r="F40" s="338"/>
      <c r="G40" s="339"/>
    </row>
    <row r="41" spans="1:26" ht="23.4">
      <c r="A41" s="316"/>
      <c r="B41" s="316"/>
      <c r="C41" s="84" t="s">
        <v>97</v>
      </c>
      <c r="D41" s="194" t="s">
        <v>74</v>
      </c>
      <c r="E41" s="337"/>
      <c r="F41" s="338"/>
      <c r="G41" s="339"/>
    </row>
    <row r="42" spans="1:26" ht="23.4">
      <c r="A42" s="317"/>
      <c r="B42" s="317"/>
      <c r="C42" s="197" t="s">
        <v>192</v>
      </c>
      <c r="D42" s="194" t="s">
        <v>74</v>
      </c>
      <c r="E42" s="337"/>
      <c r="F42" s="338"/>
      <c r="G42" s="339"/>
    </row>
    <row r="43" spans="1:26" ht="23.4">
      <c r="A43" s="315" t="s">
        <v>98</v>
      </c>
      <c r="B43" s="195" t="s">
        <v>190</v>
      </c>
      <c r="C43" s="84" t="s">
        <v>99</v>
      </c>
      <c r="D43" s="194" t="s">
        <v>74</v>
      </c>
      <c r="E43" s="337"/>
      <c r="F43" s="338"/>
      <c r="G43" s="339"/>
    </row>
    <row r="44" spans="1:26" ht="24">
      <c r="A44" s="317"/>
      <c r="B44" s="73" t="s">
        <v>100</v>
      </c>
      <c r="C44" s="89" t="s">
        <v>101</v>
      </c>
      <c r="D44" s="194" t="s">
        <v>74</v>
      </c>
      <c r="E44" s="337"/>
      <c r="F44" s="338"/>
      <c r="G44" s="339"/>
    </row>
    <row r="45" spans="1:26" ht="14.25" customHeight="1">
      <c r="A45" s="90"/>
      <c r="B45" s="344" t="s">
        <v>196</v>
      </c>
      <c r="C45" s="345"/>
      <c r="D45" s="345"/>
      <c r="E45" s="345"/>
      <c r="F45" s="345"/>
      <c r="G45" s="345"/>
      <c r="H45" s="2"/>
      <c r="I45" s="2"/>
      <c r="J45" s="2"/>
      <c r="K45" s="2"/>
      <c r="L45" s="2"/>
      <c r="M45" s="2"/>
      <c r="N45" s="2"/>
      <c r="O45" s="2"/>
      <c r="P45" s="2"/>
      <c r="Q45" s="2"/>
      <c r="R45" s="2"/>
      <c r="S45" s="2"/>
      <c r="T45" s="2"/>
      <c r="U45" s="2"/>
      <c r="V45" s="2"/>
      <c r="W45" s="2"/>
      <c r="X45" s="2"/>
      <c r="Y45" s="2"/>
      <c r="Z45" s="2"/>
    </row>
    <row r="46" spans="1:26" ht="14.25" customHeight="1">
      <c r="A46" s="94"/>
      <c r="B46" s="93"/>
      <c r="C46" s="91"/>
      <c r="D46" s="92"/>
      <c r="E46" s="91"/>
      <c r="F46" s="91"/>
      <c r="G46" s="91"/>
    </row>
    <row r="47" spans="1:26" ht="21">
      <c r="A47" s="343" t="s">
        <v>102</v>
      </c>
      <c r="B47" s="343"/>
      <c r="C47" s="343"/>
      <c r="D47" s="343"/>
      <c r="E47" s="343"/>
      <c r="F47" s="343"/>
      <c r="G47" s="343"/>
      <c r="H47" s="152"/>
      <c r="I47" s="152"/>
      <c r="J47" s="152"/>
      <c r="K47" s="152"/>
      <c r="L47" s="152"/>
      <c r="M47" s="152"/>
      <c r="N47" s="152"/>
      <c r="O47" s="152"/>
      <c r="P47" s="152"/>
      <c r="Q47" s="152"/>
      <c r="R47" s="152"/>
      <c r="S47" s="152"/>
      <c r="T47" s="152"/>
      <c r="U47" s="152"/>
      <c r="V47" s="152"/>
      <c r="W47" s="152"/>
      <c r="X47" s="152"/>
      <c r="Y47" s="152"/>
      <c r="Z47" s="152"/>
    </row>
    <row r="48" spans="1:26" ht="14.25" customHeight="1">
      <c r="A48" s="3" t="s">
        <v>103</v>
      </c>
      <c r="B48" s="3"/>
      <c r="C48" s="95" t="s">
        <v>104</v>
      </c>
      <c r="D48" s="95" t="s">
        <v>105</v>
      </c>
      <c r="E48" s="95" t="s">
        <v>106</v>
      </c>
      <c r="F48" s="95" t="s">
        <v>107</v>
      </c>
      <c r="G48" s="3" t="s">
        <v>49</v>
      </c>
    </row>
    <row r="49" spans="1:26" ht="14.25" customHeight="1">
      <c r="A49" s="150" t="s">
        <v>108</v>
      </c>
      <c r="B49" s="96"/>
      <c r="C49" s="96"/>
      <c r="D49" s="96"/>
      <c r="E49" s="97">
        <f t="shared" ref="E49:F49" si="9">E50+E56</f>
        <v>2511250</v>
      </c>
      <c r="F49" s="97">
        <f t="shared" si="9"/>
        <v>2854906.25</v>
      </c>
      <c r="G49" s="128">
        <f>F49/$F$77</f>
        <v>0.12107425299336845</v>
      </c>
      <c r="H49" s="1"/>
      <c r="I49" s="1"/>
      <c r="J49" s="1"/>
      <c r="K49" s="1"/>
      <c r="L49" s="1"/>
      <c r="M49" s="1"/>
      <c r="N49" s="1"/>
      <c r="O49" s="1"/>
      <c r="P49" s="1"/>
      <c r="Q49" s="1"/>
      <c r="R49" s="1"/>
      <c r="S49" s="1"/>
      <c r="T49" s="1"/>
      <c r="U49" s="1"/>
      <c r="V49" s="1"/>
      <c r="W49" s="1"/>
      <c r="X49" s="1"/>
      <c r="Y49" s="1"/>
      <c r="Z49" s="1"/>
    </row>
    <row r="50" spans="1:26" ht="14.25" customHeight="1">
      <c r="A50" s="312" t="s">
        <v>109</v>
      </c>
      <c r="B50" s="312"/>
      <c r="C50" s="99"/>
      <c r="D50" s="4"/>
      <c r="E50" s="100">
        <f t="shared" ref="E50:F50" si="10">SUM(E51:E55)</f>
        <v>2511250</v>
      </c>
      <c r="F50" s="100">
        <f t="shared" si="10"/>
        <v>2854906.25</v>
      </c>
      <c r="G50" s="101"/>
      <c r="H50" s="102"/>
      <c r="I50" s="102"/>
      <c r="J50" s="102"/>
      <c r="K50" s="102"/>
      <c r="L50" s="102"/>
      <c r="M50" s="102"/>
      <c r="N50" s="102"/>
      <c r="O50" s="102"/>
      <c r="P50" s="102"/>
      <c r="Q50" s="102"/>
      <c r="R50" s="102"/>
      <c r="S50" s="102"/>
      <c r="T50" s="102"/>
      <c r="U50" s="102"/>
      <c r="V50" s="102"/>
      <c r="W50" s="102"/>
      <c r="X50" s="102"/>
      <c r="Y50" s="102"/>
      <c r="Z50" s="102"/>
    </row>
    <row r="51" spans="1:26" ht="14.25" customHeight="1">
      <c r="A51" s="324" t="s">
        <v>110</v>
      </c>
      <c r="B51" s="324"/>
      <c r="C51" s="202">
        <f>B19</f>
        <v>250</v>
      </c>
      <c r="D51" s="203">
        <f>B15*$B$8</f>
        <v>1750</v>
      </c>
      <c r="E51" s="204">
        <f t="shared" ref="E51:E56" si="11">C51*D51</f>
        <v>437500</v>
      </c>
      <c r="F51" s="204">
        <f t="shared" ref="F51:F52" si="12">E51*1.055</f>
        <v>461562.5</v>
      </c>
      <c r="G51" s="205" t="s">
        <v>111</v>
      </c>
      <c r="H51" s="103"/>
      <c r="I51" s="103"/>
      <c r="J51" s="103"/>
      <c r="K51" s="103"/>
      <c r="L51" s="103"/>
      <c r="M51" s="103"/>
      <c r="N51" s="103"/>
      <c r="O51" s="103"/>
      <c r="P51" s="103"/>
      <c r="Q51" s="103"/>
      <c r="R51" s="103"/>
      <c r="S51" s="103"/>
      <c r="T51" s="103"/>
      <c r="U51" s="103"/>
      <c r="V51" s="103"/>
      <c r="W51" s="103"/>
      <c r="X51" s="103"/>
      <c r="Y51" s="103"/>
      <c r="Z51" s="103"/>
    </row>
    <row r="52" spans="1:26" ht="14.25" customHeight="1">
      <c r="A52" s="324" t="s">
        <v>50</v>
      </c>
      <c r="B52" s="325"/>
      <c r="C52" s="202">
        <v>350</v>
      </c>
      <c r="D52" s="203">
        <f>D11*$B$8</f>
        <v>1050</v>
      </c>
      <c r="E52" s="206">
        <f t="shared" si="11"/>
        <v>367500</v>
      </c>
      <c r="F52" s="206">
        <f t="shared" si="12"/>
        <v>387712.5</v>
      </c>
      <c r="G52" s="205" t="s">
        <v>111</v>
      </c>
      <c r="H52" s="14"/>
      <c r="I52" s="14"/>
      <c r="J52" s="14"/>
      <c r="K52" s="14"/>
      <c r="L52" s="14"/>
      <c r="M52" s="14"/>
      <c r="N52" s="14"/>
      <c r="O52" s="14"/>
      <c r="P52" s="14"/>
      <c r="Q52" s="14"/>
      <c r="R52" s="14"/>
      <c r="S52" s="14"/>
      <c r="T52" s="14"/>
      <c r="U52" s="14"/>
      <c r="V52" s="14"/>
      <c r="W52" s="14"/>
      <c r="X52" s="14"/>
      <c r="Y52" s="14"/>
      <c r="Z52" s="14"/>
    </row>
    <row r="53" spans="1:26" ht="14.25" customHeight="1">
      <c r="A53" s="324" t="s">
        <v>112</v>
      </c>
      <c r="B53" s="325"/>
      <c r="C53" s="202">
        <v>275</v>
      </c>
      <c r="D53" s="203">
        <f>SUM(D12:D14)*B8</f>
        <v>1050</v>
      </c>
      <c r="E53" s="204">
        <f t="shared" si="11"/>
        <v>288750</v>
      </c>
      <c r="F53" s="204">
        <f>IF(SUM($D$12:$D$14)=0,0,E53*(1.055*SUM($D$12:$D$13)+1.2*$D$14)/SUM($D$12:$D$14))</f>
        <v>304631.24999999994</v>
      </c>
      <c r="G53" s="205" t="str">
        <f>"TVA moyenne de "&amp;IF(E53=0,0,ROUND((F53/E53-1)*100,2))&amp;" % (prorata SDP)"</f>
        <v>TVA moyenne de 5,5 % (prorata SDP)</v>
      </c>
      <c r="H53" s="103"/>
      <c r="I53" s="103"/>
      <c r="J53" s="103"/>
      <c r="K53" s="103"/>
      <c r="L53" s="103"/>
      <c r="M53" s="103"/>
      <c r="N53" s="103"/>
      <c r="O53" s="103"/>
      <c r="P53" s="103"/>
      <c r="Q53" s="103"/>
      <c r="R53" s="103"/>
      <c r="S53" s="103"/>
      <c r="T53" s="103"/>
      <c r="U53" s="103"/>
      <c r="V53" s="103"/>
      <c r="W53" s="103"/>
      <c r="X53" s="103"/>
      <c r="Y53" s="103"/>
      <c r="Z53" s="103"/>
    </row>
    <row r="54" spans="1:26" ht="14.25" customHeight="1">
      <c r="A54" s="324" t="s">
        <v>8</v>
      </c>
      <c r="B54" s="325"/>
      <c r="C54" s="202">
        <f>E19</f>
        <v>450</v>
      </c>
      <c r="D54" s="203">
        <f>(E15+F15)*$B$8</f>
        <v>3150</v>
      </c>
      <c r="E54" s="206">
        <f t="shared" si="11"/>
        <v>1417500</v>
      </c>
      <c r="F54" s="206">
        <f>E54*1.2</f>
        <v>1701000</v>
      </c>
      <c r="G54" s="205" t="s">
        <v>113</v>
      </c>
      <c r="H54" s="14"/>
      <c r="I54" s="14"/>
      <c r="J54" s="14"/>
      <c r="K54" s="14"/>
      <c r="L54" s="14"/>
      <c r="M54" s="14"/>
      <c r="N54" s="14"/>
      <c r="O54" s="14"/>
      <c r="P54" s="14"/>
      <c r="Q54" s="14"/>
      <c r="R54" s="14"/>
      <c r="S54" s="14"/>
      <c r="T54" s="14"/>
      <c r="U54" s="14"/>
      <c r="V54" s="14"/>
      <c r="W54" s="14"/>
      <c r="X54" s="14"/>
      <c r="Y54" s="14"/>
      <c r="Z54" s="14"/>
    </row>
    <row r="55" spans="1:26" ht="14.25" customHeight="1">
      <c r="A55" s="326" t="s">
        <v>15</v>
      </c>
      <c r="B55" s="327"/>
      <c r="C55" s="207">
        <v>1600</v>
      </c>
      <c r="D55" s="208">
        <f>D60</f>
        <v>0</v>
      </c>
      <c r="E55" s="209">
        <f t="shared" si="11"/>
        <v>0</v>
      </c>
      <c r="F55" s="210">
        <f>IF($C$15=0,E55*(1.2*($E$21+$F$21)+1.055*$B$21)/($B$21+$E$21+$F$21),E55*(1.2*($E$21+$F$21+$C$21*$D$14/$C$15)+1.055*($B$21+$C$21*SUM($D$11:$D$13)/$C$15))/($B$21+$C$21+$E$21+$F$21))</f>
        <v>0</v>
      </c>
      <c r="G55" s="211" t="str">
        <f>"TVA moyenne de "&amp;IF(E55=0,"",ROUND((F55/E55-1)*100,2))&amp;" % (prorata nb places)"</f>
        <v>TVA moyenne de  % (prorata nb places)</v>
      </c>
      <c r="H55" s="103"/>
      <c r="I55" s="103"/>
      <c r="J55" s="103"/>
      <c r="K55" s="103"/>
      <c r="L55" s="103"/>
      <c r="M55" s="103"/>
      <c r="N55" s="103"/>
      <c r="O55" s="103"/>
      <c r="P55" s="103"/>
      <c r="Q55" s="103"/>
      <c r="R55" s="103"/>
      <c r="S55" s="103"/>
      <c r="T55" s="103"/>
      <c r="U55" s="103"/>
      <c r="V55" s="103"/>
      <c r="W55" s="103"/>
      <c r="X55" s="103"/>
      <c r="Y55" s="103"/>
      <c r="Z55" s="103"/>
    </row>
    <row r="56" spans="1:26" ht="14.25" customHeight="1">
      <c r="A56" s="328" t="s">
        <v>114</v>
      </c>
      <c r="B56" s="329"/>
      <c r="C56" s="137"/>
      <c r="D56" s="104">
        <f>SUM(B21:E21)-D60</f>
        <v>66</v>
      </c>
      <c r="E56" s="105">
        <f t="shared" si="11"/>
        <v>0</v>
      </c>
      <c r="F56" s="105">
        <f>E56*1.2</f>
        <v>0</v>
      </c>
      <c r="G56" s="7"/>
    </row>
    <row r="57" spans="1:26" ht="14.25" customHeight="1">
      <c r="A57" s="96" t="s">
        <v>115</v>
      </c>
      <c r="B57" s="96"/>
      <c r="C57" s="127"/>
      <c r="D57" s="127"/>
      <c r="E57" s="97">
        <f t="shared" ref="E57:F57" si="13">E59+E60+E58</f>
        <v>0</v>
      </c>
      <c r="F57" s="97">
        <f t="shared" si="13"/>
        <v>0</v>
      </c>
      <c r="G57" s="128">
        <f>F57/$F$77</f>
        <v>0</v>
      </c>
      <c r="H57" s="1"/>
      <c r="I57" s="1"/>
      <c r="J57" s="1"/>
      <c r="K57" s="1"/>
      <c r="L57" s="1"/>
      <c r="M57" s="1"/>
      <c r="N57" s="1"/>
      <c r="O57" s="1"/>
      <c r="P57" s="1"/>
      <c r="Q57" s="1"/>
      <c r="R57" s="1"/>
      <c r="S57" s="1"/>
      <c r="T57" s="1"/>
      <c r="U57" s="1"/>
      <c r="V57" s="1"/>
      <c r="W57" s="1"/>
      <c r="X57" s="1"/>
      <c r="Y57" s="1"/>
      <c r="Z57" s="1"/>
    </row>
    <row r="58" spans="1:26" ht="14.25" customHeight="1">
      <c r="A58" s="330" t="s">
        <v>116</v>
      </c>
      <c r="B58" s="330"/>
      <c r="C58" s="138">
        <v>0</v>
      </c>
      <c r="D58" s="108">
        <f>SUM(B17:E17)</f>
        <v>6300</v>
      </c>
      <c r="E58" s="109">
        <f>D58*C58</f>
        <v>0</v>
      </c>
      <c r="F58" s="109">
        <f t="shared" ref="F58:F60" si="14">IF($C$15=0,E58*(1.2*($E$16+$F$16)+1.055*$B$16)/$B$8,E58*(1.2*($E$16+$F$16+$C$16*$D$14/$C$15)+1.055*($B$16+$C$16*SUM($D$11:$D$13)/$C$15))/$B$8)</f>
        <v>0</v>
      </c>
      <c r="G58" s="244" t="str">
        <f>"TVA moyenne de "&amp;IF(E58=0,"",ROUND((F58/E58-1)*100,2))&amp;" % (prorata SDP)"</f>
        <v>TVA moyenne de  % (prorata SDP)</v>
      </c>
      <c r="H58" s="107"/>
      <c r="I58" s="107"/>
      <c r="J58" s="107"/>
      <c r="K58" s="107"/>
      <c r="L58" s="107"/>
      <c r="M58" s="107"/>
      <c r="N58" s="107"/>
      <c r="O58" s="107"/>
      <c r="P58" s="107"/>
      <c r="Q58" s="107"/>
      <c r="R58" s="107"/>
      <c r="S58" s="107"/>
      <c r="T58" s="107"/>
      <c r="U58" s="107"/>
      <c r="V58" s="107"/>
      <c r="W58" s="107"/>
      <c r="X58" s="107"/>
      <c r="Y58" s="107"/>
      <c r="Z58" s="107"/>
    </row>
    <row r="59" spans="1:26" ht="14.25" customHeight="1">
      <c r="A59" s="308" t="s">
        <v>117</v>
      </c>
      <c r="B59" s="309"/>
      <c r="C59" s="214">
        <v>0</v>
      </c>
      <c r="D59" s="215">
        <f>SUM(B17:E17)</f>
        <v>6300</v>
      </c>
      <c r="E59" s="216">
        <f>C59*D59</f>
        <v>0</v>
      </c>
      <c r="F59" s="216">
        <f t="shared" si="14"/>
        <v>0</v>
      </c>
      <c r="G59" s="223" t="str">
        <f>"TVA moyenne de "&amp;IF(E59=0,"",ROUND(100*(F59/E59-1),2))&amp;"% (prorata SdP)"</f>
        <v>TVA moyenne de % (prorata SdP)</v>
      </c>
    </row>
    <row r="60" spans="1:26" ht="14.25" customHeight="1">
      <c r="A60" s="330" t="s">
        <v>118</v>
      </c>
      <c r="B60" s="348"/>
      <c r="C60" s="212">
        <v>0</v>
      </c>
      <c r="D60" s="213">
        <v>0</v>
      </c>
      <c r="E60" s="109">
        <f>C60*D60</f>
        <v>0</v>
      </c>
      <c r="F60" s="110">
        <f t="shared" si="14"/>
        <v>0</v>
      </c>
      <c r="G60" s="245" t="str">
        <f>"TVA moyenne de "&amp;IF(E60=0,"",ROUND((F60/E60-1)*100,2))&amp;" % (prorata nb places)"</f>
        <v>TVA moyenne de  % (prorata nb places)</v>
      </c>
    </row>
    <row r="61" spans="1:26" ht="14.25" customHeight="1">
      <c r="A61" s="96" t="s">
        <v>119</v>
      </c>
      <c r="B61" s="96"/>
      <c r="C61" s="127"/>
      <c r="D61" s="106"/>
      <c r="E61" s="97">
        <f t="shared" ref="E61:F61" si="15">SUM(E62:E66)</f>
        <v>0</v>
      </c>
      <c r="F61" s="97">
        <f t="shared" si="15"/>
        <v>0</v>
      </c>
      <c r="G61" s="128">
        <f>F61/$F$77</f>
        <v>0</v>
      </c>
      <c r="H61" s="1"/>
      <c r="I61" s="1"/>
      <c r="J61" s="1"/>
      <c r="K61" s="1"/>
      <c r="L61" s="1"/>
      <c r="M61" s="1"/>
      <c r="N61" s="1"/>
      <c r="O61" s="1"/>
      <c r="P61" s="1"/>
      <c r="Q61" s="1"/>
      <c r="R61" s="1"/>
      <c r="S61" s="1"/>
      <c r="T61" s="1"/>
      <c r="U61" s="1"/>
      <c r="V61" s="1"/>
      <c r="W61" s="1"/>
      <c r="X61" s="1"/>
      <c r="Y61" s="1"/>
      <c r="Z61" s="1"/>
    </row>
    <row r="62" spans="1:26" ht="14.25" customHeight="1">
      <c r="A62" s="349" t="s">
        <v>120</v>
      </c>
      <c r="B62" s="350"/>
      <c r="C62" s="217">
        <v>0</v>
      </c>
      <c r="D62" s="218" t="s">
        <v>121</v>
      </c>
      <c r="E62" s="219">
        <f>C62*$E$77</f>
        <v>0</v>
      </c>
      <c r="F62" s="219">
        <f t="shared" ref="F62:F66" si="16">IF($C$15=0,E62*(1.2*($E$16+$F$16)+1.055*$B$16)/$B$8,E62*(1.2*($E$16+$F$16+$C$16*$D$14/$C$15)+1.055*($B$16+$C$16*SUM($D$11:$D$13)/$C$15))/$B$8)</f>
        <v>0</v>
      </c>
      <c r="G62" s="220" t="str">
        <f>"TVA moyenne de "&amp;IF(E62=0,"",ROUND(100*(F62/E62-1),2))&amp;"% (prorata SdP)"</f>
        <v>TVA moyenne de % (prorata SdP)</v>
      </c>
      <c r="H62" s="102"/>
      <c r="I62" s="102"/>
      <c r="J62" s="102"/>
      <c r="K62" s="102"/>
      <c r="L62" s="102"/>
      <c r="M62" s="102"/>
      <c r="N62" s="102"/>
      <c r="O62" s="102"/>
      <c r="P62" s="102"/>
      <c r="Q62" s="102"/>
      <c r="R62" s="102"/>
      <c r="S62" s="102"/>
      <c r="T62" s="102"/>
      <c r="U62" s="102"/>
      <c r="V62" s="102"/>
      <c r="W62" s="102"/>
      <c r="X62" s="102"/>
      <c r="Y62" s="102"/>
      <c r="Z62" s="102"/>
    </row>
    <row r="63" spans="1:26" ht="14.25" customHeight="1">
      <c r="A63" s="308" t="s">
        <v>122</v>
      </c>
      <c r="B63" s="309"/>
      <c r="C63" s="221">
        <v>0</v>
      </c>
      <c r="D63" s="222" t="s">
        <v>121</v>
      </c>
      <c r="E63" s="216">
        <f>C63*$E$77</f>
        <v>0</v>
      </c>
      <c r="F63" s="216">
        <f t="shared" si="16"/>
        <v>0</v>
      </c>
      <c r="G63" s="220" t="str">
        <f t="shared" ref="G63:G66" si="17">"TVA moyenne de "&amp;IF(E63=0,"",ROUND(100*(F63/E63-1),2))&amp;"% (prorata SdP)"</f>
        <v>TVA moyenne de % (prorata SdP)</v>
      </c>
      <c r="H63" s="102"/>
      <c r="I63" s="102"/>
      <c r="J63" s="102"/>
      <c r="K63" s="102"/>
      <c r="L63" s="102"/>
      <c r="M63" s="102"/>
      <c r="N63" s="102"/>
      <c r="O63" s="102"/>
      <c r="P63" s="102"/>
      <c r="Q63" s="102"/>
      <c r="R63" s="102"/>
      <c r="S63" s="102"/>
      <c r="T63" s="102"/>
      <c r="U63" s="102"/>
      <c r="V63" s="102"/>
      <c r="W63" s="102"/>
      <c r="X63" s="102"/>
      <c r="Y63" s="102"/>
      <c r="Z63" s="102"/>
    </row>
    <row r="64" spans="1:26" ht="14.25" customHeight="1">
      <c r="A64" s="308" t="s">
        <v>123</v>
      </c>
      <c r="B64" s="309"/>
      <c r="C64" s="221">
        <v>0</v>
      </c>
      <c r="D64" s="222" t="s">
        <v>121</v>
      </c>
      <c r="E64" s="216">
        <f>C64*$E$77</f>
        <v>0</v>
      </c>
      <c r="F64" s="216">
        <f t="shared" si="16"/>
        <v>0</v>
      </c>
      <c r="G64" s="220" t="str">
        <f t="shared" si="17"/>
        <v>TVA moyenne de % (prorata SdP)</v>
      </c>
      <c r="H64" s="102"/>
      <c r="I64" s="102"/>
      <c r="J64" s="102"/>
      <c r="K64" s="102"/>
      <c r="L64" s="102"/>
      <c r="M64" s="102"/>
      <c r="N64" s="102"/>
      <c r="O64" s="102"/>
      <c r="P64" s="102"/>
      <c r="Q64" s="102"/>
      <c r="R64" s="102"/>
      <c r="S64" s="102"/>
      <c r="T64" s="102"/>
      <c r="U64" s="102"/>
      <c r="V64" s="102"/>
      <c r="W64" s="102"/>
      <c r="X64" s="102"/>
      <c r="Y64" s="102"/>
      <c r="Z64" s="102"/>
    </row>
    <row r="65" spans="1:26" ht="14.25" customHeight="1">
      <c r="A65" s="308" t="s">
        <v>124</v>
      </c>
      <c r="B65" s="309"/>
      <c r="C65" s="221">
        <v>0</v>
      </c>
      <c r="D65" s="222" t="s">
        <v>121</v>
      </c>
      <c r="E65" s="216">
        <f>C65*$E$77</f>
        <v>0</v>
      </c>
      <c r="F65" s="216">
        <f t="shared" si="16"/>
        <v>0</v>
      </c>
      <c r="G65" s="220" t="str">
        <f t="shared" si="17"/>
        <v>TVA moyenne de % (prorata SdP)</v>
      </c>
      <c r="H65" s="102"/>
      <c r="I65" s="102"/>
      <c r="J65" s="102"/>
      <c r="K65" s="102"/>
      <c r="L65" s="102"/>
      <c r="M65" s="102"/>
      <c r="N65" s="102"/>
      <c r="O65" s="102"/>
      <c r="P65" s="102"/>
      <c r="Q65" s="102"/>
      <c r="R65" s="102"/>
      <c r="S65" s="102"/>
      <c r="T65" s="102"/>
      <c r="U65" s="102"/>
      <c r="V65" s="102"/>
      <c r="W65" s="102"/>
      <c r="X65" s="102"/>
      <c r="Y65" s="102"/>
      <c r="Z65" s="102"/>
    </row>
    <row r="66" spans="1:26" ht="14.25" customHeight="1">
      <c r="A66" s="310" t="s">
        <v>125</v>
      </c>
      <c r="B66" s="311"/>
      <c r="C66" s="139">
        <v>0</v>
      </c>
      <c r="D66" s="133" t="s">
        <v>121</v>
      </c>
      <c r="E66" s="110">
        <f>C66*$E$77</f>
        <v>0</v>
      </c>
      <c r="F66" s="110">
        <f t="shared" si="16"/>
        <v>0</v>
      </c>
      <c r="G66" s="111" t="str">
        <f t="shared" si="17"/>
        <v>TVA moyenne de % (prorata SdP)</v>
      </c>
      <c r="H66" s="102"/>
      <c r="I66" s="102"/>
      <c r="J66" s="102"/>
      <c r="K66" s="102"/>
      <c r="L66" s="102"/>
      <c r="M66" s="102"/>
      <c r="N66" s="102"/>
      <c r="O66" s="102"/>
      <c r="P66" s="102"/>
      <c r="Q66" s="102"/>
      <c r="R66" s="102"/>
      <c r="S66" s="102"/>
      <c r="T66" s="102"/>
      <c r="U66" s="102"/>
      <c r="V66" s="102"/>
      <c r="W66" s="102"/>
      <c r="X66" s="102"/>
      <c r="Y66" s="102"/>
      <c r="Z66" s="102"/>
    </row>
    <row r="67" spans="1:26" ht="14.25" customHeight="1">
      <c r="A67" s="112" t="s">
        <v>126</v>
      </c>
      <c r="B67" s="112"/>
      <c r="C67" s="129"/>
      <c r="D67" s="113"/>
      <c r="E67" s="114">
        <f t="shared" ref="E67:F67" si="18">SUM(E49,E57,E61)</f>
        <v>2511250</v>
      </c>
      <c r="F67" s="114">
        <f t="shared" si="18"/>
        <v>2854906.25</v>
      </c>
      <c r="G67" s="115"/>
      <c r="H67" s="9"/>
      <c r="I67" s="9"/>
      <c r="J67" s="9"/>
      <c r="K67" s="9"/>
      <c r="L67" s="9"/>
      <c r="M67" s="9"/>
      <c r="N67" s="9"/>
      <c r="O67" s="9"/>
      <c r="P67" s="9"/>
      <c r="Q67" s="9"/>
      <c r="R67" s="9"/>
      <c r="S67" s="9"/>
      <c r="T67" s="9"/>
      <c r="U67" s="9"/>
      <c r="V67" s="9"/>
      <c r="W67" s="9"/>
      <c r="X67" s="9"/>
      <c r="Y67" s="9"/>
      <c r="Z67" s="9"/>
    </row>
    <row r="68" spans="1:26" ht="14.25" customHeight="1">
      <c r="A68" s="96" t="s">
        <v>127</v>
      </c>
      <c r="B68" s="96"/>
      <c r="C68" s="130"/>
      <c r="D68" s="96"/>
      <c r="E68" s="97">
        <f t="shared" ref="E68:F68" si="19">SUM(E69:E76)</f>
        <v>20857530</v>
      </c>
      <c r="F68" s="97">
        <f t="shared" si="19"/>
        <v>23579796.524999999</v>
      </c>
      <c r="G68" s="98"/>
      <c r="H68" s="1"/>
      <c r="I68" s="1"/>
      <c r="J68" s="1"/>
      <c r="K68" s="1"/>
      <c r="L68" s="1"/>
      <c r="M68" s="1"/>
      <c r="N68" s="1"/>
      <c r="O68" s="1"/>
      <c r="P68" s="1"/>
      <c r="Q68" s="1"/>
      <c r="R68" s="1"/>
      <c r="S68" s="1"/>
      <c r="T68" s="1"/>
      <c r="U68" s="1"/>
      <c r="V68" s="1"/>
      <c r="W68" s="1"/>
      <c r="X68" s="1"/>
      <c r="Y68" s="1"/>
      <c r="Z68" s="1"/>
    </row>
    <row r="69" spans="1:26" ht="14.25" customHeight="1">
      <c r="A69" s="312" t="s">
        <v>128</v>
      </c>
      <c r="B69" s="312"/>
      <c r="C69" s="131">
        <f>E22</f>
        <v>4598</v>
      </c>
      <c r="D69" s="116">
        <f>E17</f>
        <v>2835</v>
      </c>
      <c r="E69" s="100">
        <f t="shared" ref="E69:E70" si="20">F69/1.2</f>
        <v>10862775</v>
      </c>
      <c r="F69" s="100">
        <f>C69*D69</f>
        <v>13035330</v>
      </c>
      <c r="G69" s="117" t="s">
        <v>113</v>
      </c>
    </row>
    <row r="70" spans="1:26" ht="14.25" customHeight="1">
      <c r="A70" s="355" t="s">
        <v>129</v>
      </c>
      <c r="B70" s="356"/>
      <c r="C70" s="224">
        <f>F22</f>
        <v>0</v>
      </c>
      <c r="D70" s="225">
        <f>F17</f>
        <v>0</v>
      </c>
      <c r="E70" s="226">
        <f t="shared" si="20"/>
        <v>0</v>
      </c>
      <c r="F70" s="226">
        <f>C70*D70</f>
        <v>0</v>
      </c>
      <c r="G70" s="227" t="s">
        <v>113</v>
      </c>
    </row>
    <row r="71" spans="1:26" ht="14.25" customHeight="1">
      <c r="A71" s="353" t="s">
        <v>130</v>
      </c>
      <c r="B71" s="354"/>
      <c r="C71" s="228">
        <f>3338*0.8</f>
        <v>2670.4</v>
      </c>
      <c r="D71" s="229">
        <f>IF($C$15=0,0,C18*$D$11/$C$15)</f>
        <v>1012.5</v>
      </c>
      <c r="E71" s="230">
        <f>C71*D71</f>
        <v>2703780</v>
      </c>
      <c r="F71" s="230">
        <f>1.055*E71</f>
        <v>2852487.9</v>
      </c>
      <c r="G71" s="231" t="s">
        <v>111</v>
      </c>
    </row>
    <row r="72" spans="1:26" ht="14.25" customHeight="1">
      <c r="A72" s="355" t="s">
        <v>131</v>
      </c>
      <c r="B72" s="356"/>
      <c r="C72" s="232">
        <f>C52</f>
        <v>350</v>
      </c>
      <c r="D72" s="225">
        <f>IF($C$15=0,0,C16*$D$11/$C$15)</f>
        <v>1050</v>
      </c>
      <c r="E72" s="226">
        <f>C72*D72</f>
        <v>367500</v>
      </c>
      <c r="F72" s="226">
        <f>E72*1.055</f>
        <v>387712.5</v>
      </c>
      <c r="G72" s="233" t="s">
        <v>111</v>
      </c>
    </row>
    <row r="73" spans="1:26" ht="14.25" customHeight="1">
      <c r="A73" s="351" t="s">
        <v>132</v>
      </c>
      <c r="B73" s="352"/>
      <c r="C73" s="234">
        <v>3338</v>
      </c>
      <c r="D73" s="235">
        <f>IF($C$15=0,0,C18*SUM($D$12:$D$13)/$C$15)</f>
        <v>1012.5</v>
      </c>
      <c r="E73" s="236">
        <f>C73*D73</f>
        <v>3379725</v>
      </c>
      <c r="F73" s="236">
        <f>1.055*E73</f>
        <v>3565609.875</v>
      </c>
      <c r="G73" s="237" t="s">
        <v>111</v>
      </c>
    </row>
    <row r="74" spans="1:26" ht="14.25" customHeight="1">
      <c r="A74" s="351" t="s">
        <v>133</v>
      </c>
      <c r="B74" s="352"/>
      <c r="C74" s="238">
        <v>3000</v>
      </c>
      <c r="D74" s="235">
        <f>IF($C$15=0,0,C17*$D$14/$C$15+4.5*ROUND($C$20*$D$14/$C$15,0))</f>
        <v>0</v>
      </c>
      <c r="E74" s="236">
        <f>F74/1.2</f>
        <v>0</v>
      </c>
      <c r="F74" s="236">
        <f>D74*C74</f>
        <v>0</v>
      </c>
      <c r="G74" s="237" t="s">
        <v>113</v>
      </c>
    </row>
    <row r="75" spans="1:26" ht="14.25" customHeight="1">
      <c r="A75" s="351" t="s">
        <v>134</v>
      </c>
      <c r="B75" s="352"/>
      <c r="C75" s="239">
        <f>B22</f>
        <v>2250</v>
      </c>
      <c r="D75" s="235">
        <f>+B17</f>
        <v>1575</v>
      </c>
      <c r="E75" s="236">
        <f>C75*D75</f>
        <v>3543750</v>
      </c>
      <c r="F75" s="236">
        <f>1.055*E75</f>
        <v>3738656.25</v>
      </c>
      <c r="G75" s="240" t="s">
        <v>111</v>
      </c>
    </row>
    <row r="76" spans="1:26" ht="14.25" customHeight="1">
      <c r="A76" s="353" t="s">
        <v>135</v>
      </c>
      <c r="B76" s="354"/>
      <c r="C76" s="241">
        <v>0</v>
      </c>
      <c r="D76" s="242">
        <f>SUM(B21:E21)</f>
        <v>66</v>
      </c>
      <c r="E76" s="243">
        <f>IF($C$15=0,F76/((1.2*($E$21+$F$21)+1.055*$B$21)/($B$21+$E$21+$F$21)),F76/((1.2*($C$21*$D$14/$C$15+$E$21+$F$21)+1.055*($B$21+$C$21*SUM($D$11:$D$13)/$C$15))/($B$21+$C$21+$E$21+$F$21)))</f>
        <v>0</v>
      </c>
      <c r="F76" s="230">
        <f>C76*SUM(B21:F21)</f>
        <v>0</v>
      </c>
      <c r="G76" s="246" t="str">
        <f>"TVA moyenne de "&amp;IF(E76=0,"",ROUND(100*(F76/E76-1),2))&amp;"% (prorata nb places)"</f>
        <v>TVA moyenne de % (prorata nb places)</v>
      </c>
    </row>
    <row r="77" spans="1:26" ht="14.25" customHeight="1">
      <c r="A77" s="112" t="s">
        <v>136</v>
      </c>
      <c r="B77" s="112"/>
      <c r="C77" s="132"/>
      <c r="D77" s="112"/>
      <c r="E77" s="114">
        <f t="shared" ref="E77:F77" si="21">E68</f>
        <v>20857530</v>
      </c>
      <c r="F77" s="114">
        <f t="shared" si="21"/>
        <v>23579796.524999999</v>
      </c>
      <c r="G77" s="115"/>
      <c r="H77" s="9"/>
      <c r="I77" s="9"/>
      <c r="J77" s="9"/>
      <c r="K77" s="9"/>
      <c r="L77" s="9"/>
      <c r="M77" s="9"/>
      <c r="N77" s="9"/>
      <c r="O77" s="9"/>
      <c r="P77" s="9"/>
      <c r="Q77" s="9"/>
      <c r="R77" s="9"/>
      <c r="S77" s="9"/>
      <c r="T77" s="9"/>
      <c r="U77" s="9"/>
      <c r="V77" s="9"/>
      <c r="W77" s="9"/>
      <c r="X77" s="9"/>
      <c r="Y77" s="9"/>
      <c r="Z77" s="9"/>
    </row>
    <row r="78" spans="1:26" ht="14.25" customHeight="1">
      <c r="A78" s="118" t="s">
        <v>137</v>
      </c>
      <c r="B78" s="118"/>
      <c r="C78" s="119">
        <f>(F77-F67)/F77</f>
        <v>0.87892574700663151</v>
      </c>
      <c r="D78" s="120"/>
      <c r="E78" s="120"/>
      <c r="F78" s="121">
        <f>F77-F67</f>
        <v>20724890.274999999</v>
      </c>
      <c r="G78" s="122"/>
    </row>
    <row r="79" spans="1:26" ht="14.25" customHeight="1">
      <c r="A79" s="5"/>
      <c r="B79" s="5"/>
      <c r="C79" s="5"/>
      <c r="D79" s="5"/>
      <c r="E79" s="5"/>
      <c r="F79" s="5"/>
      <c r="G79" s="5"/>
    </row>
    <row r="80" spans="1:26" ht="21">
      <c r="A80" s="343" t="s">
        <v>138</v>
      </c>
      <c r="B80" s="343"/>
      <c r="C80" s="343"/>
      <c r="D80" s="343"/>
      <c r="E80" s="343"/>
      <c r="F80" s="343"/>
      <c r="G80" s="343"/>
      <c r="H80" s="152"/>
      <c r="I80" s="152"/>
      <c r="J80" s="152"/>
      <c r="K80" s="152"/>
      <c r="L80" s="152"/>
      <c r="M80" s="152"/>
      <c r="N80" s="152"/>
      <c r="O80" s="152"/>
      <c r="P80" s="152"/>
      <c r="Q80" s="152"/>
      <c r="R80" s="152"/>
      <c r="S80" s="152"/>
      <c r="T80" s="152"/>
      <c r="U80" s="152"/>
      <c r="V80" s="152"/>
      <c r="W80" s="152"/>
      <c r="X80" s="152"/>
      <c r="Y80" s="152"/>
      <c r="Z80" s="152"/>
    </row>
    <row r="81" spans="1:26" ht="44.25" customHeight="1">
      <c r="A81" s="319" t="s">
        <v>139</v>
      </c>
      <c r="B81" s="320"/>
      <c r="C81" s="340"/>
      <c r="D81" s="341"/>
      <c r="E81" s="341"/>
      <c r="F81" s="341"/>
      <c r="G81" s="342"/>
      <c r="H81" s="54"/>
      <c r="I81" s="54"/>
      <c r="J81" s="54"/>
      <c r="K81" s="54"/>
      <c r="L81" s="54"/>
      <c r="M81" s="54"/>
      <c r="N81" s="54"/>
      <c r="O81" s="54"/>
      <c r="P81" s="54"/>
      <c r="Q81" s="54"/>
      <c r="R81" s="54"/>
      <c r="S81" s="54"/>
      <c r="T81" s="54"/>
      <c r="U81" s="54"/>
      <c r="V81" s="54"/>
      <c r="W81" s="54"/>
      <c r="X81" s="54"/>
      <c r="Y81" s="54"/>
      <c r="Z81" s="54"/>
    </row>
    <row r="82" spans="1:26" ht="44.25" customHeight="1">
      <c r="A82" s="321" t="s">
        <v>140</v>
      </c>
      <c r="B82" s="314"/>
      <c r="C82" s="331"/>
      <c r="D82" s="332"/>
      <c r="E82" s="332"/>
      <c r="F82" s="332"/>
      <c r="G82" s="333"/>
      <c r="H82" s="54"/>
      <c r="I82" s="54"/>
      <c r="J82" s="54"/>
      <c r="K82" s="54"/>
      <c r="L82" s="54"/>
      <c r="M82" s="54"/>
      <c r="N82" s="54"/>
      <c r="O82" s="54"/>
      <c r="P82" s="54"/>
      <c r="Q82" s="54"/>
      <c r="R82" s="54"/>
      <c r="S82" s="54"/>
      <c r="T82" s="54"/>
      <c r="U82" s="54"/>
      <c r="V82" s="54"/>
      <c r="W82" s="54"/>
      <c r="X82" s="54"/>
      <c r="Y82" s="54"/>
      <c r="Z82" s="54"/>
    </row>
    <row r="83" spans="1:26" ht="44.25" customHeight="1">
      <c r="A83" s="323" t="s">
        <v>141</v>
      </c>
      <c r="B83" s="323"/>
      <c r="C83" s="331"/>
      <c r="D83" s="332"/>
      <c r="E83" s="332"/>
      <c r="F83" s="332"/>
      <c r="G83" s="333"/>
      <c r="H83" s="54"/>
      <c r="I83" s="54"/>
      <c r="J83" s="54"/>
      <c r="K83" s="54"/>
      <c r="L83" s="54"/>
      <c r="M83" s="54"/>
      <c r="N83" s="54"/>
      <c r="O83" s="54"/>
      <c r="P83" s="54"/>
      <c r="Q83" s="54"/>
      <c r="R83" s="54"/>
      <c r="S83" s="54"/>
      <c r="T83" s="54"/>
      <c r="U83" s="54"/>
      <c r="V83" s="54"/>
      <c r="W83" s="54"/>
      <c r="X83" s="54"/>
      <c r="Y83" s="54"/>
      <c r="Z83" s="54"/>
    </row>
    <row r="84" spans="1:26" ht="48" customHeight="1">
      <c r="A84" s="404" t="s">
        <v>142</v>
      </c>
      <c r="B84" s="314"/>
      <c r="C84" s="331"/>
      <c r="D84" s="332"/>
      <c r="E84" s="332"/>
      <c r="F84" s="332"/>
      <c r="G84" s="333"/>
      <c r="H84" s="54"/>
      <c r="I84" s="54"/>
      <c r="J84" s="54"/>
      <c r="K84" s="54"/>
      <c r="L84" s="54"/>
      <c r="M84" s="54"/>
      <c r="N84" s="54"/>
      <c r="O84" s="54"/>
      <c r="P84" s="54"/>
      <c r="Q84" s="54"/>
      <c r="R84" s="54"/>
      <c r="S84" s="54"/>
      <c r="T84" s="54"/>
      <c r="U84" s="54"/>
      <c r="V84" s="54"/>
      <c r="W84" s="54"/>
      <c r="X84" s="54"/>
      <c r="Y84" s="54"/>
      <c r="Z84" s="54"/>
    </row>
    <row r="85" spans="1:26" ht="75.75" customHeight="1">
      <c r="A85" s="313" t="s">
        <v>143</v>
      </c>
      <c r="B85" s="314"/>
      <c r="C85" s="331"/>
      <c r="D85" s="332"/>
      <c r="E85" s="332"/>
      <c r="F85" s="332"/>
      <c r="G85" s="333"/>
      <c r="H85" s="54"/>
      <c r="I85" s="54"/>
      <c r="J85" s="54"/>
      <c r="K85" s="54"/>
      <c r="L85" s="54"/>
      <c r="M85" s="54"/>
      <c r="N85" s="54"/>
      <c r="O85" s="54"/>
      <c r="P85" s="54"/>
      <c r="Q85" s="54"/>
      <c r="R85" s="54"/>
      <c r="S85" s="54"/>
      <c r="T85" s="54"/>
      <c r="U85" s="54"/>
      <c r="V85" s="54"/>
      <c r="W85" s="54"/>
      <c r="X85" s="54"/>
      <c r="Y85" s="54"/>
      <c r="Z85" s="54"/>
    </row>
    <row r="86" spans="1:26" ht="48.75" customHeight="1">
      <c r="A86" s="313" t="s">
        <v>144</v>
      </c>
      <c r="B86" s="314"/>
      <c r="C86" s="331"/>
      <c r="D86" s="332"/>
      <c r="E86" s="332"/>
      <c r="F86" s="332"/>
      <c r="G86" s="333"/>
      <c r="H86" s="54"/>
      <c r="I86" s="54"/>
      <c r="J86" s="54"/>
      <c r="K86" s="54"/>
      <c r="L86" s="54"/>
      <c r="M86" s="54"/>
      <c r="N86" s="54"/>
      <c r="O86" s="54"/>
      <c r="P86" s="54"/>
      <c r="Q86" s="54"/>
      <c r="R86" s="54"/>
      <c r="S86" s="54"/>
      <c r="T86" s="54"/>
      <c r="U86" s="54"/>
      <c r="V86" s="54"/>
      <c r="W86" s="54"/>
      <c r="X86" s="54"/>
      <c r="Y86" s="54"/>
      <c r="Z86" s="54"/>
    </row>
    <row r="87" spans="1:26" ht="44.25" customHeight="1">
      <c r="A87" s="313" t="s">
        <v>145</v>
      </c>
      <c r="B87" s="314"/>
      <c r="C87" s="331"/>
      <c r="D87" s="332"/>
      <c r="E87" s="332"/>
      <c r="F87" s="332"/>
      <c r="G87" s="333"/>
      <c r="H87" s="54"/>
      <c r="I87" s="54"/>
      <c r="J87" s="54"/>
      <c r="K87" s="54"/>
      <c r="L87" s="54"/>
      <c r="M87" s="54"/>
      <c r="N87" s="54"/>
      <c r="O87" s="54"/>
      <c r="P87" s="54"/>
      <c r="Q87" s="54"/>
      <c r="R87" s="54"/>
      <c r="S87" s="54"/>
      <c r="T87" s="54"/>
      <c r="U87" s="54"/>
      <c r="V87" s="54"/>
      <c r="W87" s="54"/>
      <c r="X87" s="54"/>
      <c r="Y87" s="54"/>
      <c r="Z87" s="54"/>
    </row>
    <row r="88" spans="1:26" ht="14.25" customHeight="1"/>
    <row r="89" spans="1:26" ht="14.25" customHeight="1"/>
    <row r="90" spans="1:26" ht="14.25" customHeight="1"/>
    <row r="91" spans="1:26" ht="14.25" customHeight="1"/>
    <row r="92" spans="1:26" ht="14.25" customHeight="1"/>
    <row r="93" spans="1:26" ht="14.25" customHeight="1"/>
    <row r="94" spans="1:26" ht="14.25" customHeight="1"/>
    <row r="95" spans="1:26" ht="14.25" customHeight="1"/>
    <row r="96" spans="1:2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row r="1001" ht="14.25" customHeight="1"/>
  </sheetData>
  <sheetProtection algorithmName="SHA-512" hashValue="vLE16p9j5AcpuQVZe9BietAqWoG7oBHJXz2LQ9LhMEKNCB/uqtZ3scEmirhK9HvlXsjTmd35f3fxjVPF13JJeA==" saltValue="iFC1rw2IeYlV/kHuOO+ZjA==" spinCount="100000" sheet="1" objects="1" scenarios="1"/>
  <mergeCells count="80">
    <mergeCell ref="A85:B85"/>
    <mergeCell ref="C85:G85"/>
    <mergeCell ref="A86:B86"/>
    <mergeCell ref="C86:G86"/>
    <mergeCell ref="A87:B87"/>
    <mergeCell ref="C87:G87"/>
    <mergeCell ref="A82:B82"/>
    <mergeCell ref="C82:G82"/>
    <mergeCell ref="A83:B83"/>
    <mergeCell ref="C83:G83"/>
    <mergeCell ref="A84:B84"/>
    <mergeCell ref="C84:G84"/>
    <mergeCell ref="C81:G81"/>
    <mergeCell ref="A80:G80"/>
    <mergeCell ref="A65:B65"/>
    <mergeCell ref="A66:B66"/>
    <mergeCell ref="A69:B69"/>
    <mergeCell ref="A70:B70"/>
    <mergeCell ref="A71:B71"/>
    <mergeCell ref="A72:B72"/>
    <mergeCell ref="A73:B73"/>
    <mergeCell ref="A74:B74"/>
    <mergeCell ref="A75:B75"/>
    <mergeCell ref="A76:B76"/>
    <mergeCell ref="A81:B81"/>
    <mergeCell ref="A64:B64"/>
    <mergeCell ref="A51:B51"/>
    <mergeCell ref="A52:B52"/>
    <mergeCell ref="A53:B53"/>
    <mergeCell ref="A54:B54"/>
    <mergeCell ref="A55:B55"/>
    <mergeCell ref="A56:B56"/>
    <mergeCell ref="A58:B58"/>
    <mergeCell ref="A59:B59"/>
    <mergeCell ref="A60:B60"/>
    <mergeCell ref="A62:B62"/>
    <mergeCell ref="A63:B63"/>
    <mergeCell ref="A50:B50"/>
    <mergeCell ref="E36:G36"/>
    <mergeCell ref="A38:A39"/>
    <mergeCell ref="B38:B39"/>
    <mergeCell ref="E38:G38"/>
    <mergeCell ref="E39:G39"/>
    <mergeCell ref="A40:A42"/>
    <mergeCell ref="B40:B42"/>
    <mergeCell ref="E40:G40"/>
    <mergeCell ref="E41:G41"/>
    <mergeCell ref="E42:G42"/>
    <mergeCell ref="A43:A44"/>
    <mergeCell ref="E43:G43"/>
    <mergeCell ref="E44:G44"/>
    <mergeCell ref="B45:G45"/>
    <mergeCell ref="A47:G47"/>
    <mergeCell ref="E35:G35"/>
    <mergeCell ref="C21:D21"/>
    <mergeCell ref="A22:A23"/>
    <mergeCell ref="C22:D23"/>
    <mergeCell ref="A25:G25"/>
    <mergeCell ref="E26:G26"/>
    <mergeCell ref="E27:G27"/>
    <mergeCell ref="E29:G29"/>
    <mergeCell ref="E30:G30"/>
    <mergeCell ref="E31:G31"/>
    <mergeCell ref="E32:G32"/>
    <mergeCell ref="E34:G34"/>
    <mergeCell ref="C20:D20"/>
    <mergeCell ref="C1:D1"/>
    <mergeCell ref="C2:D5"/>
    <mergeCell ref="E2:E5"/>
    <mergeCell ref="A7:G7"/>
    <mergeCell ref="B10:B14"/>
    <mergeCell ref="C10:D10"/>
    <mergeCell ref="E10:E14"/>
    <mergeCell ref="F10:F14"/>
    <mergeCell ref="G10:G14"/>
    <mergeCell ref="C15:D15"/>
    <mergeCell ref="C16:D16"/>
    <mergeCell ref="C17:D17"/>
    <mergeCell ref="C18:D18"/>
    <mergeCell ref="C19:D19"/>
  </mergeCells>
  <dataValidations count="5">
    <dataValidation type="list" allowBlank="1" showInputMessage="1" showErrorMessage="1" sqref="D27 D29:D32 D34:D36 D38:D44">
      <formula1>"OUI,NON"</formula1>
    </dataValidation>
    <dataValidation type="whole" operator="lessThanOrEqual" allowBlank="1" showDropDown="1" showInputMessage="1" showErrorMessage="1" error="doit être inférieur ou égal au total de places B21+C21+E21+F21" prompt="Renseigner le nombre de places réalisé sur l'opération s'il est fait le choix de ne pas les positionner exclusivement hors site (concession longue durée)" sqref="D60">
      <formula1>SUM(B21,C21,E21,F21)</formula1>
    </dataValidation>
    <dataValidation type="whole" operator="lessThanOrEqual" allowBlank="1" showInputMessage="1" showErrorMessage="1" error="23 800 € TTC max" prompt="23 800 € TTC max" sqref="C76">
      <formula1>23800</formula1>
    </dataValidation>
    <dataValidation type="list" allowBlank="1" showInputMessage="1" promptTitle="Choisir entre options tarifaires" prompt="   1. décaissement initial faible (18 300 € HT / pl) et frais de gestion annuels élevés_x000a_   2. décaissement initial élevé (21 650€ HT / pl) et frais de gestion annuels faibles" sqref="C56">
      <formula1>"18300,21650"</formula1>
    </dataValidation>
    <dataValidation type="list" allowBlank="1" showInputMessage="1" showErrorMessage="1" promptTitle="Choisir entre options" prompt="   - 2 200 € sans pk ou avec pk aérien_x000a_   - 2 250 € avec pk en ouvrage" sqref="B22">
      <formula1>"2200,2250"</formula1>
    </dataValidation>
  </dataValidations>
  <pageMargins left="0.23622047244094491" right="0.23622047244094491" top="0.74803149606299213" bottom="0.74803149606299213" header="0" footer="0"/>
  <pageSetup paperSize="8" scale="57" fitToHeight="0" orientation="portrait"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Z1001"/>
  <sheetViews>
    <sheetView workbookViewId="0">
      <pane ySplit="5" topLeftCell="A39" activePane="bottomLeft" state="frozenSplit"/>
      <selection activeCell="G1" sqref="G1"/>
      <selection pane="bottomLeft" activeCell="A70" sqref="A70:B70"/>
    </sheetView>
  </sheetViews>
  <sheetFormatPr baseColWidth="10" defaultColWidth="14.44140625" defaultRowHeight="14.4"/>
  <cols>
    <col min="1" max="1" width="48.44140625" bestFit="1" customWidth="1"/>
    <col min="2" max="2" width="31.21875" bestFit="1" customWidth="1"/>
    <col min="3" max="3" width="40.21875" bestFit="1" customWidth="1"/>
    <col min="4" max="4" width="14.77734375" customWidth="1"/>
    <col min="5" max="6" width="31.21875" customWidth="1"/>
    <col min="7" max="7" width="53.5546875" customWidth="1"/>
    <col min="8" max="26" width="10.77734375" customWidth="1"/>
  </cols>
  <sheetData>
    <row r="1" spans="1:26" ht="86.25" customHeight="1" thickBot="1">
      <c r="A1" s="144" t="s">
        <v>154</v>
      </c>
      <c r="B1" s="145" t="s">
        <v>151</v>
      </c>
      <c r="C1" s="407" t="s">
        <v>152</v>
      </c>
      <c r="D1" s="377"/>
      <c r="E1" s="12">
        <f>E22*0.6+3338*75/70*1.055*0.4</f>
        <v>4268.0528571428567</v>
      </c>
      <c r="F1" s="13" t="s">
        <v>41</v>
      </c>
      <c r="G1" s="123"/>
      <c r="H1" s="14"/>
      <c r="I1" s="14"/>
    </row>
    <row r="2" spans="1:26" ht="14.25" customHeight="1" thickBot="1">
      <c r="A2" s="146" t="str">
        <f>B10</f>
        <v>Locatif social</v>
      </c>
      <c r="B2" s="147">
        <v>0.25</v>
      </c>
      <c r="C2" s="408" t="s">
        <v>42</v>
      </c>
      <c r="D2" s="379"/>
      <c r="E2" s="385">
        <f>(SUM(F69,F71,F73:F74)/(C17+E17))</f>
        <v>3922.293387061728</v>
      </c>
      <c r="F2" s="17"/>
      <c r="G2" s="5"/>
      <c r="H2" s="14"/>
      <c r="I2" s="14"/>
    </row>
    <row r="3" spans="1:26" ht="14.25" customHeight="1" thickBot="1">
      <c r="A3" s="148" t="str">
        <f>C10</f>
        <v>Accession encadrée</v>
      </c>
      <c r="B3" s="149">
        <v>0.25</v>
      </c>
      <c r="C3" s="409"/>
      <c r="D3" s="379"/>
      <c r="E3" s="316"/>
      <c r="F3" s="5"/>
      <c r="G3" s="5"/>
      <c r="H3" s="14"/>
      <c r="I3" s="14"/>
    </row>
    <row r="4" spans="1:26" ht="14.25" customHeight="1" thickBot="1">
      <c r="A4" s="148" t="str">
        <f>E10</f>
        <v>Libre VAD</v>
      </c>
      <c r="B4" s="149">
        <v>0.2</v>
      </c>
      <c r="C4" s="409"/>
      <c r="D4" s="379"/>
      <c r="E4" s="316"/>
      <c r="F4" s="5"/>
      <c r="G4" s="5"/>
      <c r="H4" s="14"/>
      <c r="I4" s="14"/>
    </row>
    <row r="5" spans="1:26" ht="14.25" customHeight="1" thickBot="1">
      <c r="A5" s="148" t="str">
        <f>F10</f>
        <v>Vente en bloc (LLI et résidences gérées)</v>
      </c>
      <c r="B5" s="149">
        <v>0.3</v>
      </c>
      <c r="C5" s="409"/>
      <c r="D5" s="382"/>
      <c r="E5" s="386"/>
      <c r="F5" s="5"/>
      <c r="G5" s="5"/>
      <c r="H5" s="14"/>
      <c r="I5" s="14"/>
    </row>
    <row r="6" spans="1:26" ht="14.25" customHeight="1">
      <c r="A6" s="20"/>
      <c r="B6" s="20"/>
      <c r="C6" s="5"/>
      <c r="D6" s="5"/>
      <c r="E6" s="5"/>
      <c r="F6" s="5"/>
      <c r="G6" s="5"/>
      <c r="H6" s="14"/>
      <c r="I6" s="14"/>
    </row>
    <row r="7" spans="1:26" ht="21">
      <c r="A7" s="343" t="s">
        <v>43</v>
      </c>
      <c r="B7" s="343"/>
      <c r="C7" s="343"/>
      <c r="D7" s="343"/>
      <c r="E7" s="343"/>
      <c r="F7" s="343"/>
      <c r="G7" s="343"/>
      <c r="H7" s="152"/>
      <c r="I7" s="152"/>
      <c r="J7" s="152"/>
      <c r="K7" s="152"/>
      <c r="L7" s="152"/>
      <c r="M7" s="152"/>
      <c r="N7" s="152"/>
      <c r="O7" s="152"/>
      <c r="P7" s="152"/>
      <c r="Q7" s="152"/>
      <c r="R7" s="152"/>
      <c r="S7" s="152"/>
      <c r="T7" s="152"/>
      <c r="U7" s="152"/>
      <c r="V7" s="152"/>
      <c r="W7" s="152"/>
      <c r="X7" s="152"/>
      <c r="Y7" s="152"/>
      <c r="Z7" s="152"/>
    </row>
    <row r="8" spans="1:26" ht="14.25" customHeight="1">
      <c r="A8" s="21" t="s">
        <v>44</v>
      </c>
      <c r="B8" s="22">
        <v>7000</v>
      </c>
      <c r="C8" s="23"/>
      <c r="D8" s="3"/>
      <c r="E8" s="24"/>
      <c r="F8" s="25"/>
      <c r="G8" s="25"/>
      <c r="H8" s="27"/>
      <c r="I8" s="28"/>
      <c r="J8" s="3"/>
      <c r="K8" s="3"/>
      <c r="L8" s="3"/>
      <c r="M8" s="3"/>
      <c r="N8" s="3"/>
      <c r="O8" s="3"/>
      <c r="P8" s="3"/>
      <c r="Q8" s="3"/>
      <c r="R8" s="3"/>
      <c r="S8" s="3"/>
      <c r="T8" s="3"/>
      <c r="U8" s="3"/>
      <c r="V8" s="3"/>
      <c r="W8" s="3"/>
      <c r="X8" s="3"/>
      <c r="Y8" s="3"/>
      <c r="Z8" s="3"/>
    </row>
    <row r="9" spans="1:26" ht="14.25" customHeight="1">
      <c r="A9" s="21" t="s">
        <v>45</v>
      </c>
      <c r="B9" s="6">
        <v>100</v>
      </c>
      <c r="C9" s="23"/>
      <c r="D9" s="3"/>
      <c r="E9" s="24"/>
      <c r="F9" s="25"/>
      <c r="G9" s="25"/>
      <c r="H9" s="27"/>
      <c r="I9" s="28"/>
      <c r="J9" s="3"/>
      <c r="K9" s="3"/>
      <c r="L9" s="3"/>
      <c r="M9" s="3"/>
      <c r="N9" s="3"/>
      <c r="O9" s="3"/>
      <c r="P9" s="3"/>
      <c r="Q9" s="3"/>
      <c r="R9" s="3"/>
      <c r="S9" s="3"/>
      <c r="T9" s="3"/>
      <c r="U9" s="3"/>
      <c r="V9" s="3"/>
      <c r="W9" s="3"/>
      <c r="X9" s="3"/>
      <c r="Y9" s="3"/>
      <c r="Z9" s="3"/>
    </row>
    <row r="10" spans="1:26" ht="14.25" customHeight="1">
      <c r="A10" s="29"/>
      <c r="B10" s="387" t="s">
        <v>46</v>
      </c>
      <c r="C10" s="402" t="s">
        <v>9</v>
      </c>
      <c r="D10" s="384"/>
      <c r="E10" s="389" t="s">
        <v>47</v>
      </c>
      <c r="F10" s="387" t="s">
        <v>48</v>
      </c>
      <c r="G10" s="392" t="s">
        <v>49</v>
      </c>
      <c r="H10" s="27"/>
      <c r="I10" s="28"/>
      <c r="J10" s="3"/>
      <c r="K10" s="3"/>
      <c r="L10" s="3"/>
      <c r="M10" s="3"/>
      <c r="N10" s="3"/>
      <c r="O10" s="3"/>
      <c r="P10" s="3"/>
      <c r="Q10" s="3"/>
      <c r="R10" s="3"/>
      <c r="S10" s="3"/>
      <c r="T10" s="3"/>
      <c r="U10" s="3"/>
      <c r="V10" s="3"/>
      <c r="W10" s="3"/>
      <c r="X10" s="3"/>
      <c r="Y10" s="3"/>
      <c r="Z10" s="3"/>
    </row>
    <row r="11" spans="1:26" ht="14.25" customHeight="1">
      <c r="A11" s="24"/>
      <c r="B11" s="388"/>
      <c r="C11" s="30" t="s">
        <v>50</v>
      </c>
      <c r="D11" s="134">
        <v>0.13</v>
      </c>
      <c r="E11" s="390"/>
      <c r="F11" s="388"/>
      <c r="G11" s="388"/>
      <c r="H11" s="8"/>
      <c r="I11" s="28"/>
      <c r="J11" s="5"/>
      <c r="K11" s="5"/>
      <c r="L11" s="5"/>
      <c r="M11" s="5"/>
      <c r="N11" s="5"/>
      <c r="O11" s="5"/>
      <c r="P11" s="5"/>
      <c r="Q11" s="5"/>
      <c r="R11" s="5"/>
      <c r="S11" s="5"/>
      <c r="T11" s="5"/>
      <c r="U11" s="5"/>
      <c r="V11" s="5"/>
      <c r="W11" s="5"/>
      <c r="X11" s="5"/>
      <c r="Y11" s="5"/>
      <c r="Z11" s="5"/>
    </row>
    <row r="12" spans="1:26" ht="14.25" customHeight="1">
      <c r="A12" s="24"/>
      <c r="B12" s="388"/>
      <c r="C12" s="32" t="s">
        <v>51</v>
      </c>
      <c r="D12" s="135">
        <v>0</v>
      </c>
      <c r="E12" s="390"/>
      <c r="F12" s="388"/>
      <c r="G12" s="388"/>
      <c r="H12" s="8"/>
      <c r="I12" s="28"/>
      <c r="J12" s="5"/>
      <c r="K12" s="5"/>
      <c r="L12" s="5"/>
      <c r="M12" s="5"/>
      <c r="N12" s="5"/>
      <c r="O12" s="5"/>
      <c r="P12" s="5"/>
      <c r="Q12" s="5"/>
      <c r="R12" s="5"/>
      <c r="S12" s="5"/>
      <c r="T12" s="5"/>
      <c r="U12" s="5"/>
      <c r="V12" s="5"/>
      <c r="W12" s="5"/>
      <c r="X12" s="5"/>
      <c r="Y12" s="5"/>
      <c r="Z12" s="5"/>
    </row>
    <row r="13" spans="1:26" ht="14.25" customHeight="1">
      <c r="A13" s="24"/>
      <c r="B13" s="388"/>
      <c r="C13" s="32" t="s">
        <v>52</v>
      </c>
      <c r="D13" s="135">
        <v>0.12</v>
      </c>
      <c r="E13" s="390"/>
      <c r="F13" s="388"/>
      <c r="G13" s="388"/>
      <c r="H13" s="8"/>
      <c r="I13" s="28"/>
      <c r="J13" s="5"/>
      <c r="K13" s="5"/>
      <c r="L13" s="5"/>
      <c r="M13" s="5"/>
      <c r="N13" s="5"/>
      <c r="O13" s="5"/>
      <c r="P13" s="5"/>
      <c r="Q13" s="5"/>
      <c r="R13" s="5"/>
      <c r="S13" s="5"/>
      <c r="T13" s="5"/>
      <c r="U13" s="5"/>
      <c r="V13" s="5"/>
      <c r="W13" s="5"/>
      <c r="X13" s="5"/>
      <c r="Y13" s="5"/>
      <c r="Z13" s="5"/>
    </row>
    <row r="14" spans="1:26" ht="14.25" customHeight="1">
      <c r="A14" s="24"/>
      <c r="B14" s="366"/>
      <c r="C14" s="33" t="s">
        <v>53</v>
      </c>
      <c r="D14" s="34">
        <f>C15-SUM(D11:D13)</f>
        <v>0</v>
      </c>
      <c r="E14" s="391"/>
      <c r="F14" s="366"/>
      <c r="G14" s="366"/>
      <c r="H14" s="8"/>
      <c r="I14" s="28"/>
      <c r="J14" s="5"/>
      <c r="K14" s="5"/>
      <c r="L14" s="5"/>
      <c r="M14" s="5"/>
      <c r="N14" s="5"/>
      <c r="O14" s="5"/>
      <c r="P14" s="5"/>
      <c r="Q14" s="5"/>
      <c r="R14" s="5"/>
      <c r="S14" s="5"/>
      <c r="T14" s="5"/>
      <c r="U14" s="5"/>
      <c r="V14" s="5"/>
      <c r="W14" s="5"/>
      <c r="X14" s="5"/>
      <c r="Y14" s="5"/>
      <c r="Z14" s="5"/>
    </row>
    <row r="15" spans="1:26" ht="14.25" customHeight="1">
      <c r="A15" s="35" t="s">
        <v>54</v>
      </c>
      <c r="B15" s="36">
        <f>B2</f>
        <v>0.25</v>
      </c>
      <c r="C15" s="393">
        <f>B3</f>
        <v>0.25</v>
      </c>
      <c r="D15" s="394"/>
      <c r="E15" s="37">
        <f>B4</f>
        <v>0.2</v>
      </c>
      <c r="F15" s="37">
        <f>B5</f>
        <v>0.3</v>
      </c>
      <c r="G15" s="38"/>
      <c r="H15" s="8"/>
      <c r="I15" s="28"/>
      <c r="J15" s="5"/>
      <c r="K15" s="5"/>
      <c r="L15" s="5"/>
      <c r="M15" s="5"/>
      <c r="N15" s="5"/>
      <c r="O15" s="5"/>
      <c r="P15" s="5"/>
      <c r="Q15" s="5"/>
      <c r="R15" s="5"/>
      <c r="S15" s="5"/>
      <c r="T15" s="5"/>
      <c r="U15" s="5"/>
      <c r="V15" s="5"/>
      <c r="W15" s="5"/>
      <c r="X15" s="5"/>
      <c r="Y15" s="5"/>
      <c r="Z15" s="5"/>
    </row>
    <row r="16" spans="1:26" ht="14.25" customHeight="1">
      <c r="A16" s="39" t="s">
        <v>55</v>
      </c>
      <c r="B16" s="40">
        <f t="shared" ref="B16:C16" si="0">B15*$B$8</f>
        <v>1750</v>
      </c>
      <c r="C16" s="395">
        <f t="shared" si="0"/>
        <v>1750</v>
      </c>
      <c r="D16" s="396"/>
      <c r="E16" s="40">
        <f t="shared" ref="E16:F16" si="1">E15*$B$8</f>
        <v>1400</v>
      </c>
      <c r="F16" s="40">
        <f t="shared" si="1"/>
        <v>2100</v>
      </c>
      <c r="G16" s="41"/>
      <c r="H16" s="8"/>
      <c r="I16" s="43"/>
      <c r="J16" s="5"/>
      <c r="K16" s="5"/>
      <c r="L16" s="5"/>
      <c r="M16" s="5"/>
      <c r="N16" s="5"/>
      <c r="O16" s="5"/>
      <c r="P16" s="5"/>
      <c r="Q16" s="5"/>
      <c r="R16" s="5"/>
      <c r="S16" s="5"/>
      <c r="T16" s="5"/>
      <c r="U16" s="5"/>
      <c r="V16" s="5"/>
      <c r="W16" s="5"/>
      <c r="X16" s="5"/>
      <c r="Y16" s="5"/>
      <c r="Z16" s="5"/>
    </row>
    <row r="17" spans="1:26" ht="14.25" customHeight="1">
      <c r="A17" s="44" t="s">
        <v>56</v>
      </c>
      <c r="B17" s="45">
        <f t="shared" ref="B17:C17" si="2">0.9*B16</f>
        <v>1575</v>
      </c>
      <c r="C17" s="397">
        <f t="shared" si="2"/>
        <v>1575</v>
      </c>
      <c r="D17" s="398"/>
      <c r="E17" s="45">
        <f t="shared" ref="E17:F17" si="3">0.9*E16</f>
        <v>1260</v>
      </c>
      <c r="F17" s="45">
        <f t="shared" si="3"/>
        <v>1890</v>
      </c>
      <c r="G17" s="46" t="s">
        <v>57</v>
      </c>
      <c r="H17" s="8"/>
      <c r="I17" s="43"/>
      <c r="J17" s="5"/>
      <c r="K17" s="5"/>
      <c r="L17" s="5"/>
      <c r="M17" s="5"/>
      <c r="N17" s="5"/>
      <c r="O17" s="5"/>
      <c r="P17" s="5"/>
      <c r="Q17" s="5"/>
      <c r="R17" s="5"/>
      <c r="S17" s="5"/>
      <c r="T17" s="5"/>
      <c r="U17" s="5"/>
      <c r="V17" s="5"/>
      <c r="W17" s="5"/>
      <c r="X17" s="5"/>
      <c r="Y17" s="5"/>
      <c r="Z17" s="5"/>
    </row>
    <row r="18" spans="1:26" ht="14.25" customHeight="1">
      <c r="A18" s="47" t="s">
        <v>58</v>
      </c>
      <c r="B18" s="48">
        <f t="shared" ref="B18:C18" si="4">ROUND(B17*75/70,0)</f>
        <v>1688</v>
      </c>
      <c r="C18" s="399">
        <f t="shared" si="4"/>
        <v>1688</v>
      </c>
      <c r="D18" s="400"/>
      <c r="E18" s="48">
        <f t="shared" ref="E18:F18" si="5">ROUND(E17*75/70,0)</f>
        <v>1350</v>
      </c>
      <c r="F18" s="48">
        <f t="shared" si="5"/>
        <v>2025</v>
      </c>
      <c r="G18" s="49" t="s">
        <v>59</v>
      </c>
      <c r="H18" s="8"/>
      <c r="I18" s="43"/>
      <c r="J18" s="5"/>
      <c r="K18" s="5"/>
      <c r="L18" s="5"/>
      <c r="M18" s="5"/>
      <c r="N18" s="5"/>
      <c r="O18" s="5"/>
      <c r="P18" s="5"/>
      <c r="Q18" s="5"/>
      <c r="R18" s="5"/>
      <c r="S18" s="5"/>
      <c r="T18" s="5"/>
      <c r="U18" s="5"/>
      <c r="V18" s="5"/>
      <c r="W18" s="5"/>
      <c r="X18" s="5"/>
      <c r="Y18" s="5"/>
      <c r="Z18" s="5"/>
    </row>
    <row r="19" spans="1:26" ht="14.25" customHeight="1">
      <c r="A19" s="50" t="s">
        <v>60</v>
      </c>
      <c r="B19" s="51">
        <v>250</v>
      </c>
      <c r="C19" s="401" t="str">
        <f>IF($C$15=0,0,ROUND((350*D11+275*SUM(D12:D14))/C15,0))&amp;" € (350 € BRS et 275 € autres produits)"</f>
        <v>314 € (350 € BRS et 275 € autres produits)</v>
      </c>
      <c r="D19" s="364"/>
      <c r="E19" s="51">
        <v>450</v>
      </c>
      <c r="F19" s="51">
        <v>450</v>
      </c>
      <c r="G19" s="52"/>
      <c r="H19" s="8"/>
      <c r="I19" s="43"/>
      <c r="J19" s="5"/>
      <c r="K19" s="5"/>
      <c r="L19" s="5"/>
      <c r="M19" s="5"/>
      <c r="N19" s="5"/>
      <c r="O19" s="5"/>
      <c r="P19" s="5"/>
      <c r="Q19" s="5"/>
      <c r="R19" s="5"/>
      <c r="S19" s="5"/>
      <c r="T19" s="5"/>
      <c r="U19" s="5"/>
      <c r="V19" s="5"/>
      <c r="W19" s="5"/>
      <c r="X19" s="5"/>
      <c r="Y19" s="5"/>
      <c r="Z19" s="5"/>
    </row>
    <row r="20" spans="1:26" ht="14.25" customHeight="1">
      <c r="A20" s="50" t="s">
        <v>61</v>
      </c>
      <c r="B20" s="53">
        <f t="shared" ref="B20:C20" si="6">B15*$B$9</f>
        <v>25</v>
      </c>
      <c r="C20" s="363">
        <f t="shared" si="6"/>
        <v>25</v>
      </c>
      <c r="D20" s="364"/>
      <c r="E20" s="53">
        <f t="shared" ref="E20:F20" si="7">E15*$B$9</f>
        <v>20</v>
      </c>
      <c r="F20" s="53">
        <f t="shared" si="7"/>
        <v>30</v>
      </c>
      <c r="G20" s="52"/>
      <c r="H20" s="54"/>
      <c r="I20" s="55"/>
      <c r="J20" s="5"/>
      <c r="K20" s="5"/>
      <c r="L20" s="5"/>
      <c r="M20" s="5"/>
      <c r="N20" s="5"/>
      <c r="O20" s="5"/>
      <c r="P20" s="5"/>
      <c r="Q20" s="5"/>
      <c r="R20" s="5"/>
      <c r="S20" s="5"/>
      <c r="T20" s="5"/>
      <c r="U20" s="5"/>
      <c r="V20" s="5"/>
      <c r="W20" s="5"/>
      <c r="X20" s="5"/>
      <c r="Y20" s="5"/>
      <c r="Z20" s="5"/>
    </row>
    <row r="21" spans="1:26" ht="14.25" customHeight="1">
      <c r="A21" s="50" t="s">
        <v>62</v>
      </c>
      <c r="B21" s="53">
        <f>ROUND(B20*0.5,0)</f>
        <v>13</v>
      </c>
      <c r="C21" s="363">
        <f>ROUND(C20*0.7,0)</f>
        <v>18</v>
      </c>
      <c r="D21" s="364"/>
      <c r="E21" s="53">
        <f t="shared" ref="E21:F21" si="8">ROUND(E20*0.7,0)</f>
        <v>14</v>
      </c>
      <c r="F21" s="53">
        <f t="shared" si="8"/>
        <v>21</v>
      </c>
      <c r="G21" s="52" t="s">
        <v>146</v>
      </c>
      <c r="H21" s="54"/>
      <c r="I21" s="55"/>
      <c r="J21" s="5"/>
      <c r="K21" s="5"/>
      <c r="L21" s="5"/>
      <c r="M21" s="5"/>
      <c r="N21" s="5"/>
      <c r="O21" s="5"/>
      <c r="P21" s="5"/>
      <c r="Q21" s="5"/>
      <c r="R21" s="5"/>
      <c r="S21" s="5"/>
      <c r="T21" s="5"/>
      <c r="U21" s="5"/>
      <c r="V21" s="5"/>
      <c r="W21" s="5"/>
      <c r="X21" s="5"/>
      <c r="Y21" s="5"/>
      <c r="Z21" s="5"/>
    </row>
    <row r="22" spans="1:26" ht="14.25" customHeight="1">
      <c r="A22" s="365" t="s">
        <v>63</v>
      </c>
      <c r="B22" s="247">
        <v>2250</v>
      </c>
      <c r="C22" s="403" t="s">
        <v>64</v>
      </c>
      <c r="D22" s="368"/>
      <c r="E22" s="140">
        <v>4598</v>
      </c>
      <c r="F22" s="136"/>
      <c r="G22" s="56"/>
      <c r="H22" s="54"/>
      <c r="I22" s="55"/>
      <c r="J22" s="5"/>
      <c r="K22" s="5"/>
      <c r="L22" s="5"/>
      <c r="M22" s="5"/>
      <c r="N22" s="5"/>
      <c r="O22" s="5"/>
      <c r="P22" s="5"/>
      <c r="Q22" s="5"/>
      <c r="R22" s="5"/>
      <c r="S22" s="5"/>
      <c r="T22" s="5"/>
      <c r="U22" s="5"/>
      <c r="V22" s="5"/>
      <c r="W22" s="5"/>
      <c r="X22" s="5"/>
      <c r="Y22" s="5"/>
      <c r="Z22" s="5"/>
    </row>
    <row r="23" spans="1:26" ht="60">
      <c r="A23" s="366"/>
      <c r="B23" s="57" t="s">
        <v>65</v>
      </c>
      <c r="C23" s="369"/>
      <c r="D23" s="370"/>
      <c r="E23" s="57" t="s">
        <v>66</v>
      </c>
      <c r="F23" s="57"/>
      <c r="G23" s="58"/>
      <c r="H23" s="5"/>
      <c r="I23" s="5"/>
      <c r="J23" s="5"/>
      <c r="K23" s="5"/>
      <c r="L23" s="5"/>
      <c r="M23" s="5"/>
      <c r="N23" s="5"/>
      <c r="O23" s="5"/>
      <c r="P23" s="5"/>
      <c r="Q23" s="5"/>
      <c r="R23" s="5"/>
      <c r="S23" s="5"/>
      <c r="T23" s="5"/>
      <c r="U23" s="5"/>
      <c r="V23" s="5"/>
      <c r="W23" s="5"/>
      <c r="X23" s="5"/>
      <c r="Y23" s="5"/>
      <c r="Z23" s="5"/>
    </row>
    <row r="24" spans="1:26" ht="14.25" customHeight="1">
      <c r="A24" s="5"/>
      <c r="B24" s="5"/>
      <c r="C24" s="5"/>
      <c r="D24" s="5"/>
      <c r="E24" s="5"/>
      <c r="F24" s="142"/>
      <c r="G24" s="142"/>
    </row>
    <row r="25" spans="1:26" ht="21">
      <c r="A25" s="343" t="s">
        <v>67</v>
      </c>
      <c r="B25" s="343"/>
      <c r="C25" s="343"/>
      <c r="D25" s="343"/>
      <c r="E25" s="343"/>
      <c r="F25" s="343"/>
      <c r="G25" s="343"/>
      <c r="H25" s="152"/>
      <c r="I25" s="152"/>
      <c r="J25" s="152"/>
      <c r="K25" s="152"/>
      <c r="L25" s="152"/>
      <c r="M25" s="152"/>
      <c r="N25" s="152"/>
      <c r="O25" s="152"/>
      <c r="P25" s="152"/>
      <c r="Q25" s="152"/>
      <c r="R25" s="152"/>
      <c r="S25" s="152"/>
      <c r="T25" s="152"/>
      <c r="U25" s="152"/>
      <c r="V25" s="152"/>
      <c r="W25" s="152"/>
      <c r="X25" s="152"/>
      <c r="Y25" s="152"/>
      <c r="Z25" s="152"/>
    </row>
    <row r="26" spans="1:26" ht="33.75" customHeight="1">
      <c r="A26" s="59" t="s">
        <v>68</v>
      </c>
      <c r="B26" s="60" t="s">
        <v>69</v>
      </c>
      <c r="C26" s="61" t="s">
        <v>70</v>
      </c>
      <c r="D26" s="61" t="s">
        <v>71</v>
      </c>
      <c r="E26" s="371" t="s">
        <v>72</v>
      </c>
      <c r="F26" s="372"/>
      <c r="G26" s="320"/>
    </row>
    <row r="27" spans="1:26" ht="30.6">
      <c r="A27" s="62" t="s">
        <v>73</v>
      </c>
      <c r="B27" s="198" t="s">
        <v>193</v>
      </c>
      <c r="C27" s="64"/>
      <c r="D27" s="194" t="s">
        <v>74</v>
      </c>
      <c r="E27" s="373"/>
      <c r="F27" s="374"/>
      <c r="G27" s="375"/>
    </row>
    <row r="28" spans="1:26">
      <c r="A28" s="65" t="s">
        <v>75</v>
      </c>
      <c r="B28" s="66"/>
      <c r="C28" s="67"/>
      <c r="D28" s="65"/>
      <c r="E28" s="68"/>
      <c r="F28" s="68"/>
      <c r="G28" s="68"/>
    </row>
    <row r="29" spans="1:26" ht="28.8">
      <c r="A29" s="69" t="s">
        <v>76</v>
      </c>
      <c r="B29" s="70" t="s">
        <v>77</v>
      </c>
      <c r="C29" s="71"/>
      <c r="D29" s="194" t="s">
        <v>74</v>
      </c>
      <c r="E29" s="334"/>
      <c r="F29" s="335"/>
      <c r="G29" s="336"/>
    </row>
    <row r="30" spans="1:26" ht="24">
      <c r="A30" s="72" t="s">
        <v>78</v>
      </c>
      <c r="B30" s="73" t="s">
        <v>79</v>
      </c>
      <c r="C30" s="200" t="s">
        <v>197</v>
      </c>
      <c r="D30" s="194" t="s">
        <v>74</v>
      </c>
      <c r="E30" s="337"/>
      <c r="F30" s="338"/>
      <c r="G30" s="339"/>
    </row>
    <row r="31" spans="1:26" ht="24">
      <c r="A31" s="72" t="s">
        <v>80</v>
      </c>
      <c r="B31" s="73" t="s">
        <v>79</v>
      </c>
      <c r="C31" s="200" t="s">
        <v>198</v>
      </c>
      <c r="D31" s="194" t="s">
        <v>74</v>
      </c>
      <c r="E31" s="337"/>
      <c r="F31" s="338"/>
      <c r="G31" s="339"/>
    </row>
    <row r="32" spans="1:26" ht="28.8">
      <c r="A32" s="74" t="s">
        <v>81</v>
      </c>
      <c r="B32" s="75" t="s">
        <v>82</v>
      </c>
      <c r="C32" s="201" t="s">
        <v>199</v>
      </c>
      <c r="D32" s="194" t="s">
        <v>74</v>
      </c>
      <c r="E32" s="357"/>
      <c r="F32" s="358"/>
      <c r="G32" s="359"/>
    </row>
    <row r="33" spans="1:26">
      <c r="A33" s="76" t="s">
        <v>83</v>
      </c>
      <c r="B33" s="77"/>
      <c r="C33" s="78"/>
      <c r="D33" s="79"/>
      <c r="E33" s="80"/>
      <c r="F33" s="80"/>
      <c r="G33" s="80"/>
    </row>
    <row r="34" spans="1:26" ht="36">
      <c r="A34" s="196" t="s">
        <v>191</v>
      </c>
      <c r="B34" s="81" t="s">
        <v>84</v>
      </c>
      <c r="C34" s="82" t="s">
        <v>85</v>
      </c>
      <c r="D34" s="194" t="s">
        <v>74</v>
      </c>
      <c r="E34" s="360"/>
      <c r="F34" s="361"/>
      <c r="G34" s="362"/>
    </row>
    <row r="35" spans="1:26" ht="28.8">
      <c r="A35" s="72" t="s">
        <v>86</v>
      </c>
      <c r="B35" s="83" t="s">
        <v>87</v>
      </c>
      <c r="C35" s="84" t="s">
        <v>88</v>
      </c>
      <c r="D35" s="194" t="s">
        <v>74</v>
      </c>
      <c r="E35" s="337"/>
      <c r="F35" s="338"/>
      <c r="G35" s="339"/>
    </row>
    <row r="36" spans="1:26" ht="28.8">
      <c r="A36" s="74" t="s">
        <v>89</v>
      </c>
      <c r="B36" s="63" t="s">
        <v>90</v>
      </c>
      <c r="C36" s="64"/>
      <c r="D36" s="194" t="s">
        <v>74</v>
      </c>
      <c r="E36" s="337"/>
      <c r="F36" s="338"/>
      <c r="G36" s="339"/>
    </row>
    <row r="37" spans="1:26">
      <c r="A37" s="85" t="s">
        <v>91</v>
      </c>
      <c r="B37" s="86"/>
      <c r="C37" s="87"/>
      <c r="D37" s="85"/>
      <c r="E37" s="88"/>
      <c r="F37" s="88"/>
      <c r="G37" s="88"/>
    </row>
    <row r="38" spans="1:26" ht="23.4">
      <c r="A38" s="346" t="s">
        <v>92</v>
      </c>
      <c r="B38" s="347" t="s">
        <v>93</v>
      </c>
      <c r="C38" s="199" t="s">
        <v>194</v>
      </c>
      <c r="D38" s="194" t="s">
        <v>74</v>
      </c>
      <c r="E38" s="334"/>
      <c r="F38" s="335"/>
      <c r="G38" s="336"/>
    </row>
    <row r="39" spans="1:26" ht="23.4">
      <c r="A39" s="317"/>
      <c r="B39" s="317"/>
      <c r="C39" s="197" t="s">
        <v>195</v>
      </c>
      <c r="D39" s="194" t="s">
        <v>74</v>
      </c>
      <c r="E39" s="337"/>
      <c r="F39" s="338"/>
      <c r="G39" s="339"/>
    </row>
    <row r="40" spans="1:26" ht="23.4">
      <c r="A40" s="315" t="s">
        <v>94</v>
      </c>
      <c r="B40" s="318" t="s">
        <v>95</v>
      </c>
      <c r="C40" s="84" t="s">
        <v>96</v>
      </c>
      <c r="D40" s="194" t="s">
        <v>74</v>
      </c>
      <c r="E40" s="337"/>
      <c r="F40" s="338"/>
      <c r="G40" s="339"/>
    </row>
    <row r="41" spans="1:26" ht="23.4">
      <c r="A41" s="316"/>
      <c r="B41" s="316"/>
      <c r="C41" s="84" t="s">
        <v>97</v>
      </c>
      <c r="D41" s="194" t="s">
        <v>74</v>
      </c>
      <c r="E41" s="337"/>
      <c r="F41" s="338"/>
      <c r="G41" s="339"/>
    </row>
    <row r="42" spans="1:26" ht="23.4">
      <c r="A42" s="317"/>
      <c r="B42" s="317"/>
      <c r="C42" s="197" t="s">
        <v>192</v>
      </c>
      <c r="D42" s="194" t="s">
        <v>74</v>
      </c>
      <c r="E42" s="337"/>
      <c r="F42" s="338"/>
      <c r="G42" s="339"/>
    </row>
    <row r="43" spans="1:26" ht="23.4">
      <c r="A43" s="315" t="s">
        <v>98</v>
      </c>
      <c r="B43" s="195" t="s">
        <v>190</v>
      </c>
      <c r="C43" s="84" t="s">
        <v>99</v>
      </c>
      <c r="D43" s="194" t="s">
        <v>74</v>
      </c>
      <c r="E43" s="337"/>
      <c r="F43" s="338"/>
      <c r="G43" s="339"/>
    </row>
    <row r="44" spans="1:26" ht="24">
      <c r="A44" s="317"/>
      <c r="B44" s="73" t="s">
        <v>100</v>
      </c>
      <c r="C44" s="89" t="s">
        <v>101</v>
      </c>
      <c r="D44" s="194" t="s">
        <v>74</v>
      </c>
      <c r="E44" s="337"/>
      <c r="F44" s="338"/>
      <c r="G44" s="339"/>
    </row>
    <row r="45" spans="1:26" ht="14.25" customHeight="1">
      <c r="A45" s="90"/>
      <c r="B45" s="344" t="s">
        <v>196</v>
      </c>
      <c r="C45" s="345"/>
      <c r="D45" s="345"/>
      <c r="E45" s="345"/>
      <c r="F45" s="345"/>
      <c r="G45" s="345"/>
      <c r="H45" s="2"/>
      <c r="I45" s="2"/>
      <c r="J45" s="2"/>
      <c r="K45" s="2"/>
      <c r="L45" s="2"/>
      <c r="M45" s="2"/>
      <c r="N45" s="2"/>
      <c r="O45" s="2"/>
      <c r="P45" s="2"/>
      <c r="Q45" s="2"/>
      <c r="R45" s="2"/>
      <c r="S45" s="2"/>
      <c r="T45" s="2"/>
      <c r="U45" s="2"/>
      <c r="V45" s="2"/>
      <c r="W45" s="2"/>
      <c r="X45" s="2"/>
      <c r="Y45" s="2"/>
      <c r="Z45" s="2"/>
    </row>
    <row r="46" spans="1:26" ht="14.25" customHeight="1">
      <c r="A46" s="94"/>
      <c r="B46" s="93"/>
      <c r="C46" s="91"/>
      <c r="D46" s="92"/>
      <c r="E46" s="91"/>
      <c r="F46" s="91"/>
      <c r="G46" s="91"/>
    </row>
    <row r="47" spans="1:26" ht="21">
      <c r="A47" s="343" t="s">
        <v>102</v>
      </c>
      <c r="B47" s="343"/>
      <c r="C47" s="343"/>
      <c r="D47" s="343"/>
      <c r="E47" s="343"/>
      <c r="F47" s="343"/>
      <c r="G47" s="343"/>
      <c r="H47" s="152"/>
      <c r="I47" s="152"/>
      <c r="J47" s="152"/>
      <c r="K47" s="152"/>
      <c r="L47" s="152"/>
      <c r="M47" s="152"/>
      <c r="N47" s="152"/>
      <c r="O47" s="152"/>
      <c r="P47" s="152"/>
      <c r="Q47" s="152"/>
      <c r="R47" s="152"/>
      <c r="S47" s="152"/>
      <c r="T47" s="152"/>
      <c r="U47" s="152"/>
      <c r="V47" s="152"/>
      <c r="W47" s="152"/>
      <c r="X47" s="152"/>
      <c r="Y47" s="152"/>
      <c r="Z47" s="152"/>
    </row>
    <row r="48" spans="1:26" ht="14.25" customHeight="1">
      <c r="A48" s="3" t="s">
        <v>103</v>
      </c>
      <c r="B48" s="3"/>
      <c r="C48" s="95" t="s">
        <v>104</v>
      </c>
      <c r="D48" s="95" t="s">
        <v>105</v>
      </c>
      <c r="E48" s="95" t="s">
        <v>106</v>
      </c>
      <c r="F48" s="95" t="s">
        <v>107</v>
      </c>
      <c r="G48" s="3" t="s">
        <v>49</v>
      </c>
    </row>
    <row r="49" spans="1:26" ht="14.25" customHeight="1">
      <c r="A49" s="150" t="s">
        <v>108</v>
      </c>
      <c r="B49" s="96"/>
      <c r="C49" s="96"/>
      <c r="D49" s="96"/>
      <c r="E49" s="97">
        <f t="shared" ref="E49:F49" si="9">E50+E56</f>
        <v>2562000</v>
      </c>
      <c r="F49" s="97">
        <f t="shared" si="9"/>
        <v>2931285</v>
      </c>
      <c r="G49" s="128">
        <f>F49/$F$77</f>
        <v>0.19291908374598402</v>
      </c>
      <c r="H49" s="1"/>
      <c r="I49" s="1"/>
      <c r="J49" s="1"/>
      <c r="K49" s="1"/>
      <c r="L49" s="1"/>
      <c r="M49" s="1"/>
      <c r="N49" s="1"/>
      <c r="O49" s="1"/>
      <c r="P49" s="1"/>
      <c r="Q49" s="1"/>
      <c r="R49" s="1"/>
      <c r="S49" s="1"/>
      <c r="T49" s="1"/>
      <c r="U49" s="1"/>
      <c r="V49" s="1"/>
      <c r="W49" s="1"/>
      <c r="X49" s="1"/>
      <c r="Y49" s="1"/>
      <c r="Z49" s="1"/>
    </row>
    <row r="50" spans="1:26" ht="14.25" customHeight="1">
      <c r="A50" s="312" t="s">
        <v>109</v>
      </c>
      <c r="B50" s="312"/>
      <c r="C50" s="99"/>
      <c r="D50" s="4"/>
      <c r="E50" s="100">
        <f t="shared" ref="E50:F50" si="10">SUM(E51:E55)</f>
        <v>2562000</v>
      </c>
      <c r="F50" s="100">
        <f t="shared" si="10"/>
        <v>2931285</v>
      </c>
      <c r="G50" s="101"/>
      <c r="H50" s="102"/>
      <c r="I50" s="102"/>
      <c r="J50" s="102"/>
      <c r="K50" s="102"/>
      <c r="L50" s="102"/>
      <c r="M50" s="102"/>
      <c r="N50" s="102"/>
      <c r="O50" s="102"/>
      <c r="P50" s="102"/>
      <c r="Q50" s="102"/>
      <c r="R50" s="102"/>
      <c r="S50" s="102"/>
      <c r="T50" s="102"/>
      <c r="U50" s="102"/>
      <c r="V50" s="102"/>
      <c r="W50" s="102"/>
      <c r="X50" s="102"/>
      <c r="Y50" s="102"/>
      <c r="Z50" s="102"/>
    </row>
    <row r="51" spans="1:26" ht="14.25" customHeight="1">
      <c r="A51" s="324" t="s">
        <v>110</v>
      </c>
      <c r="B51" s="324"/>
      <c r="C51" s="202">
        <f>B19</f>
        <v>250</v>
      </c>
      <c r="D51" s="203">
        <f>B15*$B$8</f>
        <v>1750</v>
      </c>
      <c r="E51" s="204">
        <f t="shared" ref="E51:E56" si="11">C51*D51</f>
        <v>437500</v>
      </c>
      <c r="F51" s="204">
        <f t="shared" ref="F51:F52" si="12">E51*1.055</f>
        <v>461562.5</v>
      </c>
      <c r="G51" s="205" t="s">
        <v>111</v>
      </c>
      <c r="H51" s="103"/>
      <c r="I51" s="103"/>
      <c r="J51" s="103"/>
      <c r="K51" s="103"/>
      <c r="L51" s="103"/>
      <c r="M51" s="103"/>
      <c r="N51" s="103"/>
      <c r="O51" s="103"/>
      <c r="P51" s="103"/>
      <c r="Q51" s="103"/>
      <c r="R51" s="103"/>
      <c r="S51" s="103"/>
      <c r="T51" s="103"/>
      <c r="U51" s="103"/>
      <c r="V51" s="103"/>
      <c r="W51" s="103"/>
      <c r="X51" s="103"/>
      <c r="Y51" s="103"/>
      <c r="Z51" s="103"/>
    </row>
    <row r="52" spans="1:26" ht="14.25" customHeight="1">
      <c r="A52" s="324" t="s">
        <v>50</v>
      </c>
      <c r="B52" s="325"/>
      <c r="C52" s="202">
        <v>350</v>
      </c>
      <c r="D52" s="203">
        <f>D11*$B$8</f>
        <v>910</v>
      </c>
      <c r="E52" s="206">
        <f t="shared" si="11"/>
        <v>318500</v>
      </c>
      <c r="F52" s="206">
        <f t="shared" si="12"/>
        <v>336017.5</v>
      </c>
      <c r="G52" s="205" t="s">
        <v>111</v>
      </c>
      <c r="H52" s="14"/>
      <c r="I52" s="14"/>
      <c r="J52" s="14"/>
      <c r="K52" s="14"/>
      <c r="L52" s="14"/>
      <c r="M52" s="14"/>
      <c r="N52" s="14"/>
      <c r="O52" s="14"/>
      <c r="P52" s="14"/>
      <c r="Q52" s="14"/>
      <c r="R52" s="14"/>
      <c r="S52" s="14"/>
      <c r="T52" s="14"/>
      <c r="U52" s="14"/>
      <c r="V52" s="14"/>
      <c r="W52" s="14"/>
      <c r="X52" s="14"/>
      <c r="Y52" s="14"/>
      <c r="Z52" s="14"/>
    </row>
    <row r="53" spans="1:26" ht="14.25" customHeight="1">
      <c r="A53" s="324" t="s">
        <v>112</v>
      </c>
      <c r="B53" s="325"/>
      <c r="C53" s="202">
        <v>275</v>
      </c>
      <c r="D53" s="203">
        <f>SUM(D12:D14)*B8</f>
        <v>840</v>
      </c>
      <c r="E53" s="204">
        <f t="shared" si="11"/>
        <v>231000</v>
      </c>
      <c r="F53" s="204">
        <f>IF(SUM($D$12:$D$14)=0,0,E53*(1.055*SUM($D$12:$D$13)+1.2*$D$14)/SUM($D$12:$D$14))</f>
        <v>243705</v>
      </c>
      <c r="G53" s="205" t="str">
        <f>"TVA moyenne de "&amp;IF(E53=0,0,ROUND((F53/E53-1)*100,2))&amp;" % (prorata SDP)"</f>
        <v>TVA moyenne de 5,5 % (prorata SDP)</v>
      </c>
      <c r="H53" s="103"/>
      <c r="I53" s="103"/>
      <c r="J53" s="103"/>
      <c r="K53" s="103"/>
      <c r="L53" s="103"/>
      <c r="M53" s="103"/>
      <c r="N53" s="103"/>
      <c r="O53" s="103"/>
      <c r="P53" s="103"/>
      <c r="Q53" s="103"/>
      <c r="R53" s="103"/>
      <c r="S53" s="103"/>
      <c r="T53" s="103"/>
      <c r="U53" s="103"/>
      <c r="V53" s="103"/>
      <c r="W53" s="103"/>
      <c r="X53" s="103"/>
      <c r="Y53" s="103"/>
      <c r="Z53" s="103"/>
    </row>
    <row r="54" spans="1:26" ht="14.25" customHeight="1">
      <c r="A54" s="324" t="s">
        <v>8</v>
      </c>
      <c r="B54" s="325"/>
      <c r="C54" s="202">
        <f>E19</f>
        <v>450</v>
      </c>
      <c r="D54" s="203">
        <f>(E15+F15)*$B$8</f>
        <v>3500</v>
      </c>
      <c r="E54" s="206">
        <f t="shared" si="11"/>
        <v>1575000</v>
      </c>
      <c r="F54" s="206">
        <f>E54*1.2</f>
        <v>1890000</v>
      </c>
      <c r="G54" s="205" t="s">
        <v>113</v>
      </c>
      <c r="H54" s="14"/>
      <c r="I54" s="14"/>
      <c r="J54" s="14"/>
      <c r="K54" s="14"/>
      <c r="L54" s="14"/>
      <c r="M54" s="14"/>
      <c r="N54" s="14"/>
      <c r="O54" s="14"/>
      <c r="P54" s="14"/>
      <c r="Q54" s="14"/>
      <c r="R54" s="14"/>
      <c r="S54" s="14"/>
      <c r="T54" s="14"/>
      <c r="U54" s="14"/>
      <c r="V54" s="14"/>
      <c r="W54" s="14"/>
      <c r="X54" s="14"/>
      <c r="Y54" s="14"/>
      <c r="Z54" s="14"/>
    </row>
    <row r="55" spans="1:26" ht="14.25" customHeight="1">
      <c r="A55" s="326" t="s">
        <v>15</v>
      </c>
      <c r="B55" s="327"/>
      <c r="C55" s="207">
        <v>1600</v>
      </c>
      <c r="D55" s="208">
        <f>D60</f>
        <v>0</v>
      </c>
      <c r="E55" s="209">
        <f t="shared" si="11"/>
        <v>0</v>
      </c>
      <c r="F55" s="210">
        <f>IF($C$15=0,E55*(1.2*($E$21+$F$21)+1.055*$B$21)/($B$21+$E$21+$F$21),E55*(1.2*($E$21+$F$21+$C$21*$D$14/$C$15)+1.055*($B$21+$C$21*SUM($D$11:$D$13)/$C$15))/($B$21+$C$21+$E$21+$F$21))</f>
        <v>0</v>
      </c>
      <c r="G55" s="211" t="str">
        <f>"TVA moyenne de "&amp;IF(E55=0,"",ROUND((F55/E55-1)*100,2))&amp;" % (prorata nb places)"</f>
        <v>TVA moyenne de  % (prorata nb places)</v>
      </c>
      <c r="H55" s="103"/>
      <c r="I55" s="103"/>
      <c r="J55" s="103"/>
      <c r="K55" s="103"/>
      <c r="L55" s="103"/>
      <c r="M55" s="103"/>
      <c r="N55" s="103"/>
      <c r="O55" s="103"/>
      <c r="P55" s="103"/>
      <c r="Q55" s="103"/>
      <c r="R55" s="103"/>
      <c r="S55" s="103"/>
      <c r="T55" s="103"/>
      <c r="U55" s="103"/>
      <c r="V55" s="103"/>
      <c r="W55" s="103"/>
      <c r="X55" s="103"/>
      <c r="Y55" s="103"/>
      <c r="Z55" s="103"/>
    </row>
    <row r="56" spans="1:26" ht="14.25" customHeight="1">
      <c r="A56" s="328" t="s">
        <v>114</v>
      </c>
      <c r="B56" s="329"/>
      <c r="C56" s="137"/>
      <c r="D56" s="104">
        <f>SUM(B21:E21)-D60</f>
        <v>45</v>
      </c>
      <c r="E56" s="105">
        <f t="shared" si="11"/>
        <v>0</v>
      </c>
      <c r="F56" s="105">
        <f>E56*1.2</f>
        <v>0</v>
      </c>
      <c r="G56" s="7"/>
    </row>
    <row r="57" spans="1:26" ht="14.25" customHeight="1">
      <c r="A57" s="96" t="s">
        <v>115</v>
      </c>
      <c r="B57" s="96"/>
      <c r="C57" s="127"/>
      <c r="D57" s="127"/>
      <c r="E57" s="97">
        <f t="shared" ref="E57:F57" si="13">E59+E60+E58</f>
        <v>0</v>
      </c>
      <c r="F57" s="97">
        <f t="shared" si="13"/>
        <v>0</v>
      </c>
      <c r="G57" s="128">
        <f>F57/$F$77</f>
        <v>0</v>
      </c>
      <c r="H57" s="1"/>
      <c r="I57" s="1"/>
      <c r="J57" s="1"/>
      <c r="K57" s="1"/>
      <c r="L57" s="1"/>
      <c r="M57" s="1"/>
      <c r="N57" s="1"/>
      <c r="O57" s="1"/>
      <c r="P57" s="1"/>
      <c r="Q57" s="1"/>
      <c r="R57" s="1"/>
      <c r="S57" s="1"/>
      <c r="T57" s="1"/>
      <c r="U57" s="1"/>
      <c r="V57" s="1"/>
      <c r="W57" s="1"/>
      <c r="X57" s="1"/>
      <c r="Y57" s="1"/>
      <c r="Z57" s="1"/>
    </row>
    <row r="58" spans="1:26" ht="14.25" customHeight="1">
      <c r="A58" s="330" t="s">
        <v>116</v>
      </c>
      <c r="B58" s="330"/>
      <c r="C58" s="138">
        <v>0</v>
      </c>
      <c r="D58" s="108">
        <f>SUM(B17:F17)</f>
        <v>6300</v>
      </c>
      <c r="E58" s="109">
        <f>D58*C58</f>
        <v>0</v>
      </c>
      <c r="F58" s="109">
        <f t="shared" ref="F58:F60" si="14">IF($C$15=0,E58*(1.2*($E$16+$F$16)+1.055*$B$16)/$B$8,E58*(1.2*($E$16+$F$16+$C$16*$D$14/$C$15)+1.055*($B$16+$C$16*SUM($D$11:$D$13)/$C$15))/$B$8)</f>
        <v>0</v>
      </c>
      <c r="G58" s="244" t="str">
        <f>"TVA moyenne de "&amp;IF(E58=0,"",ROUND((F58/E58-1)*100,2))&amp;" % (prorata SDP)"</f>
        <v>TVA moyenne de  % (prorata SDP)</v>
      </c>
      <c r="H58" s="107"/>
      <c r="I58" s="107"/>
      <c r="J58" s="107"/>
      <c r="K58" s="107"/>
      <c r="L58" s="107"/>
      <c r="M58" s="107"/>
      <c r="N58" s="107"/>
      <c r="O58" s="107"/>
      <c r="P58" s="107"/>
      <c r="Q58" s="107"/>
      <c r="R58" s="107"/>
      <c r="S58" s="107"/>
      <c r="T58" s="107"/>
      <c r="U58" s="107"/>
      <c r="V58" s="107"/>
      <c r="W58" s="107"/>
      <c r="X58" s="107"/>
      <c r="Y58" s="107"/>
      <c r="Z58" s="107"/>
    </row>
    <row r="59" spans="1:26" ht="14.25" customHeight="1">
      <c r="A59" s="308" t="s">
        <v>117</v>
      </c>
      <c r="B59" s="309"/>
      <c r="C59" s="214">
        <v>0</v>
      </c>
      <c r="D59" s="215">
        <f>SUM(B17:F17)</f>
        <v>6300</v>
      </c>
      <c r="E59" s="216">
        <f>C59*D59</f>
        <v>0</v>
      </c>
      <c r="F59" s="216">
        <f t="shared" si="14"/>
        <v>0</v>
      </c>
      <c r="G59" s="223" t="str">
        <f>"TVA moyenne de "&amp;IF(E59=0,"",ROUND(100*(F59/E59-1),2))&amp;"% (prorata SdP)"</f>
        <v>TVA moyenne de % (prorata SdP)</v>
      </c>
    </row>
    <row r="60" spans="1:26" ht="14.25" customHeight="1">
      <c r="A60" s="330" t="s">
        <v>118</v>
      </c>
      <c r="B60" s="348"/>
      <c r="C60" s="212">
        <v>0</v>
      </c>
      <c r="D60" s="213">
        <v>0</v>
      </c>
      <c r="E60" s="109">
        <f>C60*D60</f>
        <v>0</v>
      </c>
      <c r="F60" s="110">
        <f t="shared" si="14"/>
        <v>0</v>
      </c>
      <c r="G60" s="245" t="str">
        <f>"TVA moyenne de "&amp;IF(E60=0,"",ROUND((F60/E60-1)*100,2))&amp;" % (prorata nb places)"</f>
        <v>TVA moyenne de  % (prorata nb places)</v>
      </c>
    </row>
    <row r="61" spans="1:26" ht="14.25" customHeight="1">
      <c r="A61" s="96" t="s">
        <v>119</v>
      </c>
      <c r="B61" s="96"/>
      <c r="C61" s="127"/>
      <c r="D61" s="106"/>
      <c r="E61" s="97">
        <f t="shared" ref="E61:F61" si="15">SUM(E62:E66)</f>
        <v>0</v>
      </c>
      <c r="F61" s="97">
        <f t="shared" si="15"/>
        <v>0</v>
      </c>
      <c r="G61" s="128">
        <f>F61/$F$77</f>
        <v>0</v>
      </c>
      <c r="H61" s="1"/>
      <c r="I61" s="1"/>
      <c r="J61" s="1"/>
      <c r="K61" s="1"/>
      <c r="L61" s="1"/>
      <c r="M61" s="1"/>
      <c r="N61" s="1"/>
      <c r="O61" s="1"/>
      <c r="P61" s="1"/>
      <c r="Q61" s="1"/>
      <c r="R61" s="1"/>
      <c r="S61" s="1"/>
      <c r="T61" s="1"/>
      <c r="U61" s="1"/>
      <c r="V61" s="1"/>
      <c r="W61" s="1"/>
      <c r="X61" s="1"/>
      <c r="Y61" s="1"/>
      <c r="Z61" s="1"/>
    </row>
    <row r="62" spans="1:26" ht="14.25" customHeight="1">
      <c r="A62" s="349" t="s">
        <v>120</v>
      </c>
      <c r="B62" s="350"/>
      <c r="C62" s="217">
        <v>0</v>
      </c>
      <c r="D62" s="218" t="s">
        <v>121</v>
      </c>
      <c r="E62" s="219">
        <f>C62*$E$77</f>
        <v>0</v>
      </c>
      <c r="F62" s="219">
        <f t="shared" ref="F62:F66" si="16">IF($C$15=0,E62*(1.2*($E$16+$F$16)+1.055*$B$16)/$B$8,E62*(1.2*($E$16+$F$16+$C$16*$D$14/$C$15)+1.055*($B$16+$C$16*SUM($D$11:$D$13)/$C$15))/$B$8)</f>
        <v>0</v>
      </c>
      <c r="G62" s="220" t="str">
        <f>"TVA moyenne de "&amp;IF(E62=0,"",ROUND(100*(F62/E62-1),2))&amp;"% (prorata SdP)"</f>
        <v>TVA moyenne de % (prorata SdP)</v>
      </c>
      <c r="H62" s="102"/>
      <c r="I62" s="102"/>
      <c r="J62" s="102"/>
      <c r="K62" s="102"/>
      <c r="L62" s="102"/>
      <c r="M62" s="102"/>
      <c r="N62" s="102"/>
      <c r="O62" s="102"/>
      <c r="P62" s="102"/>
      <c r="Q62" s="102"/>
      <c r="R62" s="102"/>
      <c r="S62" s="102"/>
      <c r="T62" s="102"/>
      <c r="U62" s="102"/>
      <c r="V62" s="102"/>
      <c r="W62" s="102"/>
      <c r="X62" s="102"/>
      <c r="Y62" s="102"/>
      <c r="Z62" s="102"/>
    </row>
    <row r="63" spans="1:26" ht="14.25" customHeight="1">
      <c r="A63" s="308" t="s">
        <v>122</v>
      </c>
      <c r="B63" s="309"/>
      <c r="C63" s="221">
        <v>0</v>
      </c>
      <c r="D63" s="222" t="s">
        <v>121</v>
      </c>
      <c r="E63" s="216">
        <f>C63*$E$77</f>
        <v>0</v>
      </c>
      <c r="F63" s="216">
        <f t="shared" si="16"/>
        <v>0</v>
      </c>
      <c r="G63" s="220" t="str">
        <f t="shared" ref="G63:G66" si="17">"TVA moyenne de "&amp;IF(E63=0,"",ROUND(100*(F63/E63-1),2))&amp;"% (prorata SdP)"</f>
        <v>TVA moyenne de % (prorata SdP)</v>
      </c>
      <c r="H63" s="102"/>
      <c r="I63" s="102"/>
      <c r="J63" s="102"/>
      <c r="K63" s="102"/>
      <c r="L63" s="102"/>
      <c r="M63" s="102"/>
      <c r="N63" s="102"/>
      <c r="O63" s="102"/>
      <c r="P63" s="102"/>
      <c r="Q63" s="102"/>
      <c r="R63" s="102"/>
      <c r="S63" s="102"/>
      <c r="T63" s="102"/>
      <c r="U63" s="102"/>
      <c r="V63" s="102"/>
      <c r="W63" s="102"/>
      <c r="X63" s="102"/>
      <c r="Y63" s="102"/>
      <c r="Z63" s="102"/>
    </row>
    <row r="64" spans="1:26" ht="14.25" customHeight="1">
      <c r="A64" s="308" t="s">
        <v>123</v>
      </c>
      <c r="B64" s="309"/>
      <c r="C64" s="221">
        <v>0</v>
      </c>
      <c r="D64" s="222" t="s">
        <v>121</v>
      </c>
      <c r="E64" s="216">
        <f>C64*$E$77</f>
        <v>0</v>
      </c>
      <c r="F64" s="216">
        <f t="shared" si="16"/>
        <v>0</v>
      </c>
      <c r="G64" s="220" t="str">
        <f t="shared" si="17"/>
        <v>TVA moyenne de % (prorata SdP)</v>
      </c>
      <c r="H64" s="102"/>
      <c r="I64" s="102"/>
      <c r="J64" s="102"/>
      <c r="K64" s="102"/>
      <c r="L64" s="102"/>
      <c r="M64" s="102"/>
      <c r="N64" s="102"/>
      <c r="O64" s="102"/>
      <c r="P64" s="102"/>
      <c r="Q64" s="102"/>
      <c r="R64" s="102"/>
      <c r="S64" s="102"/>
      <c r="T64" s="102"/>
      <c r="U64" s="102"/>
      <c r="V64" s="102"/>
      <c r="W64" s="102"/>
      <c r="X64" s="102"/>
      <c r="Y64" s="102"/>
      <c r="Z64" s="102"/>
    </row>
    <row r="65" spans="1:26" ht="14.25" customHeight="1">
      <c r="A65" s="308" t="s">
        <v>124</v>
      </c>
      <c r="B65" s="309"/>
      <c r="C65" s="221">
        <v>0</v>
      </c>
      <c r="D65" s="222" t="s">
        <v>121</v>
      </c>
      <c r="E65" s="216">
        <f>C65*$E$77</f>
        <v>0</v>
      </c>
      <c r="F65" s="216">
        <f t="shared" si="16"/>
        <v>0</v>
      </c>
      <c r="G65" s="220" t="str">
        <f t="shared" si="17"/>
        <v>TVA moyenne de % (prorata SdP)</v>
      </c>
      <c r="H65" s="102"/>
      <c r="I65" s="102"/>
      <c r="J65" s="102"/>
      <c r="K65" s="102"/>
      <c r="L65" s="102"/>
      <c r="M65" s="102"/>
      <c r="N65" s="102"/>
      <c r="O65" s="102"/>
      <c r="P65" s="102"/>
      <c r="Q65" s="102"/>
      <c r="R65" s="102"/>
      <c r="S65" s="102"/>
      <c r="T65" s="102"/>
      <c r="U65" s="102"/>
      <c r="V65" s="102"/>
      <c r="W65" s="102"/>
      <c r="X65" s="102"/>
      <c r="Y65" s="102"/>
      <c r="Z65" s="102"/>
    </row>
    <row r="66" spans="1:26" ht="14.25" customHeight="1">
      <c r="A66" s="310" t="s">
        <v>125</v>
      </c>
      <c r="B66" s="311"/>
      <c r="C66" s="139">
        <v>0</v>
      </c>
      <c r="D66" s="133" t="s">
        <v>121</v>
      </c>
      <c r="E66" s="110">
        <f>C66*$E$77</f>
        <v>0</v>
      </c>
      <c r="F66" s="110">
        <f t="shared" si="16"/>
        <v>0</v>
      </c>
      <c r="G66" s="111" t="str">
        <f t="shared" si="17"/>
        <v>TVA moyenne de % (prorata SdP)</v>
      </c>
      <c r="H66" s="102"/>
      <c r="I66" s="102"/>
      <c r="J66" s="102"/>
      <c r="K66" s="102"/>
      <c r="L66" s="102"/>
      <c r="M66" s="102"/>
      <c r="N66" s="102"/>
      <c r="O66" s="102"/>
      <c r="P66" s="102"/>
      <c r="Q66" s="102"/>
      <c r="R66" s="102"/>
      <c r="S66" s="102"/>
      <c r="T66" s="102"/>
      <c r="U66" s="102"/>
      <c r="V66" s="102"/>
      <c r="W66" s="102"/>
      <c r="X66" s="102"/>
      <c r="Y66" s="102"/>
      <c r="Z66" s="102"/>
    </row>
    <row r="67" spans="1:26" ht="14.25" customHeight="1">
      <c r="A67" s="112" t="s">
        <v>126</v>
      </c>
      <c r="B67" s="112"/>
      <c r="C67" s="129"/>
      <c r="D67" s="113"/>
      <c r="E67" s="114">
        <f t="shared" ref="E67:F67" si="18">SUM(E49,E57,E61)</f>
        <v>2562000</v>
      </c>
      <c r="F67" s="114">
        <f t="shared" si="18"/>
        <v>2931285</v>
      </c>
      <c r="G67" s="115"/>
      <c r="H67" s="9"/>
      <c r="I67" s="9"/>
      <c r="J67" s="9"/>
      <c r="K67" s="9"/>
      <c r="L67" s="9"/>
      <c r="M67" s="9"/>
      <c r="N67" s="9"/>
      <c r="O67" s="9"/>
      <c r="P67" s="9"/>
      <c r="Q67" s="9"/>
      <c r="R67" s="9"/>
      <c r="S67" s="9"/>
      <c r="T67" s="9"/>
      <c r="U67" s="9"/>
      <c r="V67" s="9"/>
      <c r="W67" s="9"/>
      <c r="X67" s="9"/>
      <c r="Y67" s="9"/>
      <c r="Z67" s="9"/>
    </row>
    <row r="68" spans="1:26" ht="14.25" customHeight="1">
      <c r="A68" s="96" t="s">
        <v>127</v>
      </c>
      <c r="B68" s="96"/>
      <c r="C68" s="130"/>
      <c r="D68" s="96"/>
      <c r="E68" s="97">
        <f t="shared" ref="E68:F68" si="19">SUM(E69:E76)</f>
        <v>13738701.423999999</v>
      </c>
      <c r="F68" s="97">
        <f t="shared" si="19"/>
        <v>15194375.502319999</v>
      </c>
      <c r="G68" s="98"/>
      <c r="H68" s="1"/>
      <c r="I68" s="1"/>
      <c r="J68" s="1"/>
      <c r="K68" s="1"/>
      <c r="L68" s="1"/>
      <c r="M68" s="1"/>
      <c r="N68" s="1"/>
      <c r="O68" s="1"/>
      <c r="P68" s="1"/>
      <c r="Q68" s="1"/>
      <c r="R68" s="1"/>
      <c r="S68" s="1"/>
      <c r="T68" s="1"/>
      <c r="U68" s="1"/>
      <c r="V68" s="1"/>
      <c r="W68" s="1"/>
      <c r="X68" s="1"/>
      <c r="Y68" s="1"/>
      <c r="Z68" s="1"/>
    </row>
    <row r="69" spans="1:26" ht="14.25" customHeight="1">
      <c r="A69" s="312" t="s">
        <v>128</v>
      </c>
      <c r="B69" s="312"/>
      <c r="C69" s="131">
        <f>E22</f>
        <v>4598</v>
      </c>
      <c r="D69" s="116">
        <f>E17</f>
        <v>1260</v>
      </c>
      <c r="E69" s="100">
        <f t="shared" ref="E69:E70" si="20">F69/1.2</f>
        <v>4827900</v>
      </c>
      <c r="F69" s="100">
        <f>C69*D69</f>
        <v>5793480</v>
      </c>
      <c r="G69" s="117" t="s">
        <v>113</v>
      </c>
    </row>
    <row r="70" spans="1:26" ht="14.25" customHeight="1">
      <c r="A70" s="355" t="s">
        <v>129</v>
      </c>
      <c r="B70" s="356"/>
      <c r="C70" s="224">
        <f>F22</f>
        <v>0</v>
      </c>
      <c r="D70" s="225">
        <f>F17</f>
        <v>1890</v>
      </c>
      <c r="E70" s="226">
        <f t="shared" si="20"/>
        <v>0</v>
      </c>
      <c r="F70" s="226">
        <f>C70*D70</f>
        <v>0</v>
      </c>
      <c r="G70" s="227" t="s">
        <v>113</v>
      </c>
    </row>
    <row r="71" spans="1:26" ht="14.25" customHeight="1">
      <c r="A71" s="353" t="s">
        <v>130</v>
      </c>
      <c r="B71" s="354"/>
      <c r="C71" s="228">
        <f>3338*0.8</f>
        <v>2670.4</v>
      </c>
      <c r="D71" s="229">
        <f>IF($C$15=0,0,C18*$D$11/$C$15)</f>
        <v>877.76</v>
      </c>
      <c r="E71" s="230">
        <f>C71*D71</f>
        <v>2343970.304</v>
      </c>
      <c r="F71" s="230">
        <f>1.055*E71</f>
        <v>2472888.6707199998</v>
      </c>
      <c r="G71" s="231" t="s">
        <v>111</v>
      </c>
    </row>
    <row r="72" spans="1:26" ht="14.25" customHeight="1">
      <c r="A72" s="355" t="s">
        <v>131</v>
      </c>
      <c r="B72" s="356"/>
      <c r="C72" s="232">
        <f>C52</f>
        <v>350</v>
      </c>
      <c r="D72" s="225">
        <f>IF($C$15=0,0,C16*$D$11/$C$15)</f>
        <v>910</v>
      </c>
      <c r="E72" s="226">
        <f>C72*D72</f>
        <v>318500</v>
      </c>
      <c r="F72" s="226">
        <f>E72*1.055</f>
        <v>336017.5</v>
      </c>
      <c r="G72" s="233" t="s">
        <v>111</v>
      </c>
    </row>
    <row r="73" spans="1:26" ht="14.25" customHeight="1">
      <c r="A73" s="351" t="s">
        <v>132</v>
      </c>
      <c r="B73" s="352"/>
      <c r="C73" s="234">
        <v>3338</v>
      </c>
      <c r="D73" s="235">
        <f>IF($C$15=0,0,C18*SUM($D$12:$D$13)/$C$15)</f>
        <v>810.24</v>
      </c>
      <c r="E73" s="236">
        <f>C73*D73</f>
        <v>2704581.12</v>
      </c>
      <c r="F73" s="236">
        <f>1.055*E73</f>
        <v>2853333.0816000002</v>
      </c>
      <c r="G73" s="237" t="s">
        <v>111</v>
      </c>
    </row>
    <row r="74" spans="1:26" ht="14.25" customHeight="1">
      <c r="A74" s="351" t="s">
        <v>133</v>
      </c>
      <c r="B74" s="352"/>
      <c r="C74" s="238">
        <v>3000</v>
      </c>
      <c r="D74" s="235">
        <f>IF($C$15=0,0,C17*$D$14/$C$15+4.5*ROUND($C$20*$D$14/$C$15,0))</f>
        <v>0</v>
      </c>
      <c r="E74" s="236">
        <f>F74/1.2</f>
        <v>0</v>
      </c>
      <c r="F74" s="236">
        <f>D74*C74</f>
        <v>0</v>
      </c>
      <c r="G74" s="237" t="s">
        <v>113</v>
      </c>
    </row>
    <row r="75" spans="1:26" ht="14.25" customHeight="1">
      <c r="A75" s="351" t="s">
        <v>134</v>
      </c>
      <c r="B75" s="352"/>
      <c r="C75" s="239">
        <f>B22</f>
        <v>2250</v>
      </c>
      <c r="D75" s="235">
        <f>+B17</f>
        <v>1575</v>
      </c>
      <c r="E75" s="236">
        <f>C75*D75</f>
        <v>3543750</v>
      </c>
      <c r="F75" s="236">
        <f>1.055*E75</f>
        <v>3738656.25</v>
      </c>
      <c r="G75" s="240" t="s">
        <v>111</v>
      </c>
    </row>
    <row r="76" spans="1:26" ht="14.25" customHeight="1">
      <c r="A76" s="353" t="s">
        <v>135</v>
      </c>
      <c r="B76" s="354"/>
      <c r="C76" s="241">
        <v>0</v>
      </c>
      <c r="D76" s="242">
        <f>SUM(B21:E21)</f>
        <v>45</v>
      </c>
      <c r="E76" s="243">
        <f>IF($C$15=0,F76/((1.2*($E$21+$F$21)+1.055*$B$21)/($B$21+$E$21+$F$21)),F76/((1.2*($C$21*$D$14/$C$15+$E$21+$F$21)+1.055*($B$21+$C$21*SUM($D$11:$D$13)/$C$15))/($B$21+$C$21+$E$21+$F$21)))</f>
        <v>0</v>
      </c>
      <c r="F76" s="230">
        <f>C76*SUM(B21:F21)</f>
        <v>0</v>
      </c>
      <c r="G76" s="246" t="str">
        <f>"TVA moyenne de "&amp;IF(E76=0,"",ROUND(100*(F76/E76-1),2))&amp;"% (prorata nb places)"</f>
        <v>TVA moyenne de % (prorata nb places)</v>
      </c>
    </row>
    <row r="77" spans="1:26" ht="14.25" customHeight="1">
      <c r="A77" s="112" t="s">
        <v>136</v>
      </c>
      <c r="B77" s="112"/>
      <c r="C77" s="132"/>
      <c r="D77" s="112"/>
      <c r="E77" s="114">
        <f t="shared" ref="E77:F77" si="21">E68</f>
        <v>13738701.423999999</v>
      </c>
      <c r="F77" s="114">
        <f t="shared" si="21"/>
        <v>15194375.502319999</v>
      </c>
      <c r="G77" s="115"/>
      <c r="H77" s="9"/>
      <c r="I77" s="9"/>
      <c r="J77" s="9"/>
      <c r="K77" s="9"/>
      <c r="L77" s="9"/>
      <c r="M77" s="9"/>
      <c r="N77" s="9"/>
      <c r="O77" s="9"/>
      <c r="P77" s="9"/>
      <c r="Q77" s="9"/>
      <c r="R77" s="9"/>
      <c r="S77" s="9"/>
      <c r="T77" s="9"/>
      <c r="U77" s="9"/>
      <c r="V77" s="9"/>
      <c r="W77" s="9"/>
      <c r="X77" s="9"/>
      <c r="Y77" s="9"/>
      <c r="Z77" s="9"/>
    </row>
    <row r="78" spans="1:26" ht="14.25" customHeight="1">
      <c r="A78" s="118" t="s">
        <v>137</v>
      </c>
      <c r="B78" s="118"/>
      <c r="C78" s="119">
        <f>(F77-F67)/F77</f>
        <v>0.80708091625401601</v>
      </c>
      <c r="D78" s="120"/>
      <c r="E78" s="120"/>
      <c r="F78" s="121">
        <f>F77-F67</f>
        <v>12263090.502319999</v>
      </c>
      <c r="G78" s="122"/>
    </row>
    <row r="79" spans="1:26" ht="14.25" customHeight="1">
      <c r="A79" s="5"/>
      <c r="B79" s="5"/>
      <c r="C79" s="5"/>
      <c r="D79" s="5"/>
      <c r="E79" s="5"/>
      <c r="F79" s="5"/>
      <c r="G79" s="5"/>
    </row>
    <row r="80" spans="1:26" ht="21">
      <c r="A80" s="343" t="s">
        <v>138</v>
      </c>
      <c r="B80" s="343"/>
      <c r="C80" s="343"/>
      <c r="D80" s="343"/>
      <c r="E80" s="343"/>
      <c r="F80" s="343"/>
      <c r="G80" s="343"/>
      <c r="H80" s="152"/>
      <c r="I80" s="152"/>
      <c r="J80" s="152"/>
      <c r="K80" s="152"/>
      <c r="L80" s="152"/>
      <c r="M80" s="152"/>
      <c r="N80" s="152"/>
      <c r="O80" s="152"/>
      <c r="P80" s="152"/>
      <c r="Q80" s="152"/>
      <c r="R80" s="152"/>
      <c r="S80" s="152"/>
      <c r="T80" s="152"/>
      <c r="U80" s="152"/>
      <c r="V80" s="152"/>
      <c r="W80" s="152"/>
      <c r="X80" s="152"/>
      <c r="Y80" s="152"/>
      <c r="Z80" s="152"/>
    </row>
    <row r="81" spans="1:26" ht="44.25" customHeight="1">
      <c r="A81" s="319" t="s">
        <v>139</v>
      </c>
      <c r="B81" s="320"/>
      <c r="C81" s="340"/>
      <c r="D81" s="341"/>
      <c r="E81" s="341"/>
      <c r="F81" s="341"/>
      <c r="G81" s="342"/>
      <c r="H81" s="54"/>
      <c r="I81" s="54"/>
      <c r="J81" s="54"/>
      <c r="K81" s="54"/>
      <c r="L81" s="54"/>
      <c r="M81" s="54"/>
      <c r="N81" s="54"/>
      <c r="O81" s="54"/>
      <c r="P81" s="54"/>
      <c r="Q81" s="54"/>
      <c r="R81" s="54"/>
      <c r="S81" s="54"/>
      <c r="T81" s="54"/>
      <c r="U81" s="54"/>
      <c r="V81" s="54"/>
      <c r="W81" s="54"/>
      <c r="X81" s="54"/>
      <c r="Y81" s="54"/>
      <c r="Z81" s="54"/>
    </row>
    <row r="82" spans="1:26" ht="44.25" customHeight="1">
      <c r="A82" s="321" t="s">
        <v>140</v>
      </c>
      <c r="B82" s="314"/>
      <c r="C82" s="331"/>
      <c r="D82" s="332"/>
      <c r="E82" s="332"/>
      <c r="F82" s="332"/>
      <c r="G82" s="333"/>
      <c r="H82" s="54"/>
      <c r="I82" s="54"/>
      <c r="J82" s="54"/>
      <c r="K82" s="54"/>
      <c r="L82" s="54"/>
      <c r="M82" s="54"/>
      <c r="N82" s="54"/>
      <c r="O82" s="54"/>
      <c r="P82" s="54"/>
      <c r="Q82" s="54"/>
      <c r="R82" s="54"/>
      <c r="S82" s="54"/>
      <c r="T82" s="54"/>
      <c r="U82" s="54"/>
      <c r="V82" s="54"/>
      <c r="W82" s="54"/>
      <c r="X82" s="54"/>
      <c r="Y82" s="54"/>
      <c r="Z82" s="54"/>
    </row>
    <row r="83" spans="1:26" ht="44.25" customHeight="1">
      <c r="A83" s="323" t="s">
        <v>141</v>
      </c>
      <c r="B83" s="323"/>
      <c r="C83" s="331"/>
      <c r="D83" s="332"/>
      <c r="E83" s="332"/>
      <c r="F83" s="332"/>
      <c r="G83" s="333"/>
      <c r="H83" s="54"/>
      <c r="I83" s="54"/>
      <c r="J83" s="54"/>
      <c r="K83" s="54"/>
      <c r="L83" s="54"/>
      <c r="M83" s="54"/>
      <c r="N83" s="54"/>
      <c r="O83" s="54"/>
      <c r="P83" s="54"/>
      <c r="Q83" s="54"/>
      <c r="R83" s="54"/>
      <c r="S83" s="54"/>
      <c r="T83" s="54"/>
      <c r="U83" s="54"/>
      <c r="V83" s="54"/>
      <c r="W83" s="54"/>
      <c r="X83" s="54"/>
      <c r="Y83" s="54"/>
      <c r="Z83" s="54"/>
    </row>
    <row r="84" spans="1:26" ht="48" customHeight="1">
      <c r="A84" s="404" t="s">
        <v>142</v>
      </c>
      <c r="B84" s="314"/>
      <c r="C84" s="331"/>
      <c r="D84" s="332"/>
      <c r="E84" s="332"/>
      <c r="F84" s="332"/>
      <c r="G84" s="333"/>
      <c r="H84" s="54"/>
      <c r="I84" s="54"/>
      <c r="J84" s="54"/>
      <c r="K84" s="54"/>
      <c r="L84" s="54"/>
      <c r="M84" s="54"/>
      <c r="N84" s="54"/>
      <c r="O84" s="54"/>
      <c r="P84" s="54"/>
      <c r="Q84" s="54"/>
      <c r="R84" s="54"/>
      <c r="S84" s="54"/>
      <c r="T84" s="54"/>
      <c r="U84" s="54"/>
      <c r="V84" s="54"/>
      <c r="W84" s="54"/>
      <c r="X84" s="54"/>
      <c r="Y84" s="54"/>
      <c r="Z84" s="54"/>
    </row>
    <row r="85" spans="1:26" ht="75.75" customHeight="1">
      <c r="A85" s="313" t="s">
        <v>143</v>
      </c>
      <c r="B85" s="314"/>
      <c r="C85" s="331"/>
      <c r="D85" s="332"/>
      <c r="E85" s="332"/>
      <c r="F85" s="332"/>
      <c r="G85" s="333"/>
      <c r="H85" s="54"/>
      <c r="I85" s="54"/>
      <c r="J85" s="54"/>
      <c r="K85" s="54"/>
      <c r="L85" s="54"/>
      <c r="M85" s="54"/>
      <c r="N85" s="54"/>
      <c r="O85" s="54"/>
      <c r="P85" s="54"/>
      <c r="Q85" s="54"/>
      <c r="R85" s="54"/>
      <c r="S85" s="54"/>
      <c r="T85" s="54"/>
      <c r="U85" s="54"/>
      <c r="V85" s="54"/>
      <c r="W85" s="54"/>
      <c r="X85" s="54"/>
      <c r="Y85" s="54"/>
      <c r="Z85" s="54"/>
    </row>
    <row r="86" spans="1:26" ht="48.75" customHeight="1">
      <c r="A86" s="313" t="s">
        <v>144</v>
      </c>
      <c r="B86" s="314"/>
      <c r="C86" s="331"/>
      <c r="D86" s="332"/>
      <c r="E86" s="332"/>
      <c r="F86" s="332"/>
      <c r="G86" s="333"/>
      <c r="H86" s="54"/>
      <c r="I86" s="54"/>
      <c r="J86" s="54"/>
      <c r="K86" s="54"/>
      <c r="L86" s="54"/>
      <c r="M86" s="54"/>
      <c r="N86" s="54"/>
      <c r="O86" s="54"/>
      <c r="P86" s="54"/>
      <c r="Q86" s="54"/>
      <c r="R86" s="54"/>
      <c r="S86" s="54"/>
      <c r="T86" s="54"/>
      <c r="U86" s="54"/>
      <c r="V86" s="54"/>
      <c r="W86" s="54"/>
      <c r="X86" s="54"/>
      <c r="Y86" s="54"/>
      <c r="Z86" s="54"/>
    </row>
    <row r="87" spans="1:26" ht="44.25" customHeight="1">
      <c r="A87" s="313" t="s">
        <v>145</v>
      </c>
      <c r="B87" s="314"/>
      <c r="C87" s="331"/>
      <c r="D87" s="332"/>
      <c r="E87" s="332"/>
      <c r="F87" s="332"/>
      <c r="G87" s="333"/>
      <c r="H87" s="54"/>
      <c r="I87" s="54"/>
      <c r="J87" s="54"/>
      <c r="K87" s="54"/>
      <c r="L87" s="54"/>
      <c r="M87" s="54"/>
      <c r="N87" s="54"/>
      <c r="O87" s="54"/>
      <c r="P87" s="54"/>
      <c r="Q87" s="54"/>
      <c r="R87" s="54"/>
      <c r="S87" s="54"/>
      <c r="T87" s="54"/>
      <c r="U87" s="54"/>
      <c r="V87" s="54"/>
      <c r="W87" s="54"/>
      <c r="X87" s="54"/>
      <c r="Y87" s="54"/>
      <c r="Z87" s="54"/>
    </row>
    <row r="88" spans="1:26" ht="14.25" customHeight="1"/>
    <row r="89" spans="1:26" ht="14.25" customHeight="1"/>
    <row r="90" spans="1:26" ht="14.25" customHeight="1"/>
    <row r="91" spans="1:26" ht="14.25" customHeight="1"/>
    <row r="92" spans="1:26" ht="14.25" customHeight="1"/>
    <row r="93" spans="1:26" ht="14.25" customHeight="1"/>
    <row r="94" spans="1:26" ht="14.25" customHeight="1"/>
    <row r="95" spans="1:26" ht="14.25" customHeight="1"/>
    <row r="96" spans="1:2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row r="1001" ht="14.25" customHeight="1"/>
  </sheetData>
  <sheetProtection algorithmName="SHA-512" hashValue="kd8NR5k8ufIo+4RXLQxKy/9g+F89RlQduoLzbExfJ9wmC2MnNvwxWDtTIUKQCDURsF33jlHYIhlGr5kO8aJdnA==" saltValue="6y/vt5V9vYS7xevpvnxqoA==" spinCount="100000" sheet="1" objects="1" scenarios="1"/>
  <mergeCells count="80">
    <mergeCell ref="A85:B85"/>
    <mergeCell ref="C85:G85"/>
    <mergeCell ref="A86:B86"/>
    <mergeCell ref="C86:G86"/>
    <mergeCell ref="A87:B87"/>
    <mergeCell ref="C87:G87"/>
    <mergeCell ref="A82:B82"/>
    <mergeCell ref="C82:G82"/>
    <mergeCell ref="A83:B83"/>
    <mergeCell ref="C83:G83"/>
    <mergeCell ref="A84:B84"/>
    <mergeCell ref="C84:G84"/>
    <mergeCell ref="C81:G81"/>
    <mergeCell ref="A80:G80"/>
    <mergeCell ref="A65:B65"/>
    <mergeCell ref="A66:B66"/>
    <mergeCell ref="A69:B69"/>
    <mergeCell ref="A70:B70"/>
    <mergeCell ref="A71:B71"/>
    <mergeCell ref="A72:B72"/>
    <mergeCell ref="A73:B73"/>
    <mergeCell ref="A74:B74"/>
    <mergeCell ref="A75:B75"/>
    <mergeCell ref="A76:B76"/>
    <mergeCell ref="A81:B81"/>
    <mergeCell ref="A64:B64"/>
    <mergeCell ref="A51:B51"/>
    <mergeCell ref="A52:B52"/>
    <mergeCell ref="A53:B53"/>
    <mergeCell ref="A54:B54"/>
    <mergeCell ref="A55:B55"/>
    <mergeCell ref="A56:B56"/>
    <mergeCell ref="A58:B58"/>
    <mergeCell ref="A59:B59"/>
    <mergeCell ref="A60:B60"/>
    <mergeCell ref="A62:B62"/>
    <mergeCell ref="A63:B63"/>
    <mergeCell ref="A50:B50"/>
    <mergeCell ref="E36:G36"/>
    <mergeCell ref="A38:A39"/>
    <mergeCell ref="B38:B39"/>
    <mergeCell ref="E38:G38"/>
    <mergeCell ref="E39:G39"/>
    <mergeCell ref="A40:A42"/>
    <mergeCell ref="B40:B42"/>
    <mergeCell ref="E40:G40"/>
    <mergeCell ref="E41:G41"/>
    <mergeCell ref="E42:G42"/>
    <mergeCell ref="A43:A44"/>
    <mergeCell ref="E43:G43"/>
    <mergeCell ref="E44:G44"/>
    <mergeCell ref="B45:G45"/>
    <mergeCell ref="A47:G47"/>
    <mergeCell ref="E35:G35"/>
    <mergeCell ref="C21:D21"/>
    <mergeCell ref="A22:A23"/>
    <mergeCell ref="C22:D23"/>
    <mergeCell ref="A25:G25"/>
    <mergeCell ref="E26:G26"/>
    <mergeCell ref="E27:G27"/>
    <mergeCell ref="E29:G29"/>
    <mergeCell ref="E30:G30"/>
    <mergeCell ref="E31:G31"/>
    <mergeCell ref="E32:G32"/>
    <mergeCell ref="E34:G34"/>
    <mergeCell ref="C20:D20"/>
    <mergeCell ref="C1:D1"/>
    <mergeCell ref="C2:D5"/>
    <mergeCell ref="E2:E5"/>
    <mergeCell ref="A7:G7"/>
    <mergeCell ref="B10:B14"/>
    <mergeCell ref="C10:D10"/>
    <mergeCell ref="E10:E14"/>
    <mergeCell ref="F10:F14"/>
    <mergeCell ref="G10:G14"/>
    <mergeCell ref="C15:D15"/>
    <mergeCell ref="C16:D16"/>
    <mergeCell ref="C17:D17"/>
    <mergeCell ref="C18:D18"/>
    <mergeCell ref="C19:D19"/>
  </mergeCells>
  <dataValidations count="5">
    <dataValidation type="list" allowBlank="1" showInputMessage="1" showErrorMessage="1" sqref="D27 D29:D32 D34:D36 D38:D44">
      <formula1>"OUI,NON"</formula1>
    </dataValidation>
    <dataValidation type="whole" operator="lessThanOrEqual" allowBlank="1" showDropDown="1" showInputMessage="1" showErrorMessage="1" error="doit être inférieur ou égal au total de places B21+C21+E21+F21" prompt="Renseigner le nombre de places réalisé sur l'opération s'il est fait le choix de ne pas les positionner exclusivement hors site (concession longue durée)" sqref="D60">
      <formula1>SUM(B21,C21,E21,F21)</formula1>
    </dataValidation>
    <dataValidation type="list" allowBlank="1" showInputMessage="1" showErrorMessage="1" promptTitle="Choisir entre options" prompt="   - 2 200 € sans pk ou avec pk aérien_x000a_   - 2 250 € avec pk en ouvrage" sqref="B22">
      <formula1>"2200,2250"</formula1>
    </dataValidation>
    <dataValidation type="whole" operator="lessThanOrEqual" allowBlank="1" showInputMessage="1" showErrorMessage="1" error="23 800 € TTC max" prompt="23 800 € TTC max" sqref="C76">
      <formula1>23800</formula1>
    </dataValidation>
    <dataValidation type="list" allowBlank="1" showInputMessage="1" promptTitle="Choisir entre options tarifaires" prompt="   1. décaissement initial faible (18 300 € HT / pl) et frais de gestion annuels élevés_x000a_   2. décaissement initial élevé (21 650€ HT / pl) et frais de gestion annuels faibles" sqref="C56">
      <formula1>"18300,21650"</formula1>
    </dataValidation>
  </dataValidations>
  <pageMargins left="0.23622047244094491" right="0.23622047244094491" top="0.74803149606299213" bottom="0.74803149606299213" header="0" footer="0"/>
  <pageSetup paperSize="8" scale="57" fitToHeight="0"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7</vt:i4>
      </vt:variant>
    </vt:vector>
  </HeadingPairs>
  <TitlesOfParts>
    <vt:vector size="14" baseType="lpstr">
      <vt:lpstr>Caractéristiques &amp; Optimisation</vt:lpstr>
      <vt:lpstr>1A</vt:lpstr>
      <vt:lpstr>1B</vt:lpstr>
      <vt:lpstr>1C</vt:lpstr>
      <vt:lpstr>2A</vt:lpstr>
      <vt:lpstr>2B</vt:lpstr>
      <vt:lpstr>2C</vt:lpstr>
      <vt:lpstr>'1A'!Zone_d_impression</vt:lpstr>
      <vt:lpstr>'1B'!Zone_d_impression</vt:lpstr>
      <vt:lpstr>'1C'!Zone_d_impression</vt:lpstr>
      <vt:lpstr>'2A'!Zone_d_impression</vt:lpstr>
      <vt:lpstr>'2B'!Zone_d_impression</vt:lpstr>
      <vt:lpstr>'2C'!Zone_d_impression</vt:lpstr>
      <vt:lpstr>'Caractéristiques &amp; Optimisation'!Zone_d_impression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Jean-Emeric Monseau</dc:creator>
  <cp:lastModifiedBy>Marilyn GODALIER</cp:lastModifiedBy>
  <cp:lastPrinted>2023-02-02T15:46:58Z</cp:lastPrinted>
  <dcterms:created xsi:type="dcterms:W3CDTF">2023-03-06T10:08:42Z</dcterms:created>
  <dcterms:modified xsi:type="dcterms:W3CDTF">2023-03-08T10:00:14Z</dcterms:modified>
</cp:coreProperties>
</file>